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83D08CB-07CD-44BE-8C31-9304C0F7A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B" sheetId="2" r:id="rId3"/>
    <sheet name="C" sheetId="3" r:id="rId4"/>
  </sheets>
  <calcPr calcId="181029"/>
</workbook>
</file>

<file path=xl/calcChain.xml><?xml version="1.0" encoding="utf-8"?>
<calcChain xmlns="http://schemas.openxmlformats.org/spreadsheetml/2006/main">
  <c r="E58" i="1" l="1"/>
  <c r="F58" i="1" s="1"/>
  <c r="G58" i="1" s="1"/>
  <c r="K58" i="1" s="1"/>
  <c r="Q58" i="1"/>
  <c r="F14" i="1"/>
  <c r="C30" i="1"/>
  <c r="E38" i="4" s="1"/>
  <c r="A30" i="1"/>
  <c r="E57" i="1"/>
  <c r="F57" i="1" s="1"/>
  <c r="G57" i="1" s="1"/>
  <c r="K57" i="1" s="1"/>
  <c r="Q57" i="1"/>
  <c r="E56" i="1"/>
  <c r="F56" i="1" s="1"/>
  <c r="G56" i="1" s="1"/>
  <c r="K56" i="1" s="1"/>
  <c r="Q56" i="1"/>
  <c r="Q53" i="1"/>
  <c r="Q54" i="1"/>
  <c r="Q55" i="1"/>
  <c r="Q52" i="1"/>
  <c r="D9" i="1"/>
  <c r="C9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5" i="1"/>
  <c r="Q49" i="1"/>
  <c r="Q50" i="1"/>
  <c r="Q51" i="1"/>
  <c r="G40" i="4"/>
  <c r="C40" i="4"/>
  <c r="G39" i="4"/>
  <c r="C39" i="4"/>
  <c r="G38" i="4"/>
  <c r="C38" i="4"/>
  <c r="G16" i="4"/>
  <c r="C16" i="4"/>
  <c r="G15" i="4"/>
  <c r="C15" i="4"/>
  <c r="G14" i="4"/>
  <c r="C14" i="4"/>
  <c r="E14" i="4"/>
  <c r="G37" i="4"/>
  <c r="C37" i="4"/>
  <c r="G13" i="4"/>
  <c r="C13" i="4"/>
  <c r="G12" i="4"/>
  <c r="C12" i="4"/>
  <c r="E12" i="4"/>
  <c r="G11" i="4"/>
  <c r="C11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E30" i="4"/>
  <c r="G29" i="4"/>
  <c r="C29" i="4"/>
  <c r="G28" i="4"/>
  <c r="C28" i="4"/>
  <c r="G27" i="4"/>
  <c r="C27" i="4"/>
  <c r="E27" i="4"/>
  <c r="G26" i="4"/>
  <c r="C26" i="4"/>
  <c r="G25" i="4"/>
  <c r="C25" i="4"/>
  <c r="G24" i="4"/>
  <c r="C24" i="4"/>
  <c r="G23" i="4"/>
  <c r="C23" i="4"/>
  <c r="E23" i="4"/>
  <c r="G22" i="4"/>
  <c r="C22" i="4"/>
  <c r="E22" i="4"/>
  <c r="G21" i="4"/>
  <c r="C21" i="4"/>
  <c r="G20" i="4"/>
  <c r="C20" i="4"/>
  <c r="G19" i="4"/>
  <c r="C19" i="4"/>
  <c r="G18" i="4"/>
  <c r="C18" i="4"/>
  <c r="G17" i="4"/>
  <c r="C17" i="4"/>
  <c r="E17" i="4"/>
  <c r="H40" i="4"/>
  <c r="B40" i="4"/>
  <c r="D40" i="4"/>
  <c r="A40" i="4"/>
  <c r="H39" i="4"/>
  <c r="D39" i="4"/>
  <c r="B39" i="4"/>
  <c r="A39" i="4"/>
  <c r="H38" i="4"/>
  <c r="B38" i="4"/>
  <c r="D38" i="4"/>
  <c r="A38" i="4"/>
  <c r="H16" i="4"/>
  <c r="D16" i="4"/>
  <c r="B16" i="4"/>
  <c r="A16" i="4"/>
  <c r="H15" i="4"/>
  <c r="B15" i="4"/>
  <c r="D15" i="4"/>
  <c r="A15" i="4"/>
  <c r="H14" i="4"/>
  <c r="D14" i="4"/>
  <c r="B14" i="4"/>
  <c r="A14" i="4"/>
  <c r="H37" i="4"/>
  <c r="B37" i="4"/>
  <c r="D37" i="4"/>
  <c r="A37" i="4"/>
  <c r="H13" i="4"/>
  <c r="D13" i="4"/>
  <c r="B13" i="4"/>
  <c r="A13" i="4"/>
  <c r="H12" i="4"/>
  <c r="B12" i="4"/>
  <c r="D12" i="4"/>
  <c r="A12" i="4"/>
  <c r="H11" i="4"/>
  <c r="D11" i="4"/>
  <c r="B11" i="4"/>
  <c r="A11" i="4"/>
  <c r="H36" i="4"/>
  <c r="B36" i="4"/>
  <c r="D36" i="4"/>
  <c r="A36" i="4"/>
  <c r="H35" i="4"/>
  <c r="D35" i="4"/>
  <c r="B35" i="4"/>
  <c r="A35" i="4"/>
  <c r="H34" i="4"/>
  <c r="B34" i="4"/>
  <c r="D34" i="4"/>
  <c r="A34" i="4"/>
  <c r="H33" i="4"/>
  <c r="D33" i="4"/>
  <c r="B33" i="4"/>
  <c r="A33" i="4"/>
  <c r="H32" i="4"/>
  <c r="B32" i="4"/>
  <c r="D32" i="4"/>
  <c r="A32" i="4"/>
  <c r="H31" i="4"/>
  <c r="D31" i="4"/>
  <c r="B31" i="4"/>
  <c r="A31" i="4"/>
  <c r="H30" i="4"/>
  <c r="B30" i="4"/>
  <c r="D30" i="4"/>
  <c r="A30" i="4"/>
  <c r="H29" i="4"/>
  <c r="D29" i="4"/>
  <c r="B29" i="4"/>
  <c r="A29" i="4"/>
  <c r="H28" i="4"/>
  <c r="B28" i="4"/>
  <c r="D28" i="4"/>
  <c r="A28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18" i="4"/>
  <c r="B18" i="4"/>
  <c r="D18" i="4"/>
  <c r="A18" i="4"/>
  <c r="H17" i="4"/>
  <c r="D17" i="4"/>
  <c r="B17" i="4"/>
  <c r="A17" i="4"/>
  <c r="C7" i="3"/>
  <c r="G26" i="3"/>
  <c r="J26" i="3"/>
  <c r="E25" i="3"/>
  <c r="F25" i="3"/>
  <c r="G25" i="3"/>
  <c r="J25" i="3"/>
  <c r="E26" i="3"/>
  <c r="F26" i="3"/>
  <c r="E27" i="3"/>
  <c r="F27" i="3"/>
  <c r="G27" i="3"/>
  <c r="J27" i="3"/>
  <c r="G11" i="3"/>
  <c r="F11" i="3"/>
  <c r="E22" i="3"/>
  <c r="F22" i="3"/>
  <c r="G22" i="3"/>
  <c r="I22" i="3"/>
  <c r="E24" i="3"/>
  <c r="F24" i="3"/>
  <c r="G24" i="3"/>
  <c r="J24" i="3"/>
  <c r="Q25" i="3"/>
  <c r="Q26" i="3"/>
  <c r="Q27" i="3"/>
  <c r="C7" i="1"/>
  <c r="E53" i="1"/>
  <c r="F53" i="1"/>
  <c r="E52" i="1"/>
  <c r="F52" i="1"/>
  <c r="G52" i="1"/>
  <c r="K52" i="1"/>
  <c r="C8" i="1"/>
  <c r="Q46" i="1"/>
  <c r="Q47" i="1"/>
  <c r="Q48" i="1"/>
  <c r="C17" i="1"/>
  <c r="E15" i="3"/>
  <c r="C17" i="3"/>
  <c r="C7" i="2"/>
  <c r="E22" i="2"/>
  <c r="F22" i="2"/>
  <c r="G22" i="2"/>
  <c r="I22" i="2"/>
  <c r="C8" i="2"/>
  <c r="G11" i="2"/>
  <c r="F11" i="2"/>
  <c r="Q26" i="2"/>
  <c r="Q27" i="2"/>
  <c r="E15" i="2"/>
  <c r="C17" i="2"/>
  <c r="Q25" i="2"/>
  <c r="Q21" i="3"/>
  <c r="Q22" i="3"/>
  <c r="Q23" i="3"/>
  <c r="Q24" i="3"/>
  <c r="Q21" i="2"/>
  <c r="Q22" i="2"/>
  <c r="Q24" i="2"/>
  <c r="Q23" i="2"/>
  <c r="Q43" i="1"/>
  <c r="Q44" i="1"/>
  <c r="Q42" i="1"/>
  <c r="Q30" i="1"/>
  <c r="E23" i="2"/>
  <c r="F23" i="2"/>
  <c r="G23" i="2"/>
  <c r="J23" i="2"/>
  <c r="E46" i="1"/>
  <c r="E40" i="1"/>
  <c r="F40" i="1"/>
  <c r="E32" i="1"/>
  <c r="F32" i="1"/>
  <c r="G32" i="1"/>
  <c r="H32" i="1"/>
  <c r="E23" i="1"/>
  <c r="F23" i="1"/>
  <c r="E21" i="2"/>
  <c r="F21" i="2"/>
  <c r="E42" i="1"/>
  <c r="E11" i="4"/>
  <c r="F42" i="1"/>
  <c r="E37" i="1"/>
  <c r="E28" i="1"/>
  <c r="E47" i="1"/>
  <c r="F47" i="1"/>
  <c r="G47" i="1"/>
  <c r="K47" i="1"/>
  <c r="E48" i="1"/>
  <c r="F48" i="1"/>
  <c r="G48" i="1"/>
  <c r="K48" i="1"/>
  <c r="E44" i="1"/>
  <c r="F44" i="1"/>
  <c r="G44" i="1"/>
  <c r="J44" i="1"/>
  <c r="E39" i="1"/>
  <c r="F39" i="1"/>
  <c r="G39" i="1"/>
  <c r="H39" i="1"/>
  <c r="E31" i="1"/>
  <c r="F31" i="1"/>
  <c r="G31" i="1"/>
  <c r="H31" i="1"/>
  <c r="E22" i="1"/>
  <c r="F22" i="1"/>
  <c r="G22" i="1"/>
  <c r="H22" i="1"/>
  <c r="E51" i="1"/>
  <c r="F51" i="1"/>
  <c r="G51" i="1"/>
  <c r="K51" i="1"/>
  <c r="E30" i="1"/>
  <c r="F30" i="1" s="1"/>
  <c r="E36" i="1"/>
  <c r="F36" i="1"/>
  <c r="G36" i="1"/>
  <c r="H36" i="1"/>
  <c r="E27" i="1"/>
  <c r="F27" i="1"/>
  <c r="G27" i="1"/>
  <c r="H27" i="1"/>
  <c r="E24" i="2"/>
  <c r="F24" i="2"/>
  <c r="G24" i="2"/>
  <c r="J24" i="2"/>
  <c r="E27" i="2"/>
  <c r="F27" i="2"/>
  <c r="G27" i="2"/>
  <c r="J27" i="2"/>
  <c r="E43" i="1"/>
  <c r="F43" i="1"/>
  <c r="G43" i="1"/>
  <c r="J43" i="1"/>
  <c r="G40" i="1"/>
  <c r="H40" i="1"/>
  <c r="E38" i="1"/>
  <c r="F38" i="1"/>
  <c r="G38" i="1"/>
  <c r="H38" i="1"/>
  <c r="E29" i="1"/>
  <c r="G23" i="1"/>
  <c r="H23" i="1"/>
  <c r="G42" i="1"/>
  <c r="E35" i="1"/>
  <c r="F35" i="1"/>
  <c r="G35" i="1"/>
  <c r="H35" i="1"/>
  <c r="E26" i="1"/>
  <c r="F26" i="1"/>
  <c r="G26" i="1"/>
  <c r="H26" i="1"/>
  <c r="E21" i="1"/>
  <c r="E49" i="1"/>
  <c r="F49" i="1"/>
  <c r="G49" i="1"/>
  <c r="K49" i="1"/>
  <c r="E32" i="4"/>
  <c r="F37" i="1"/>
  <c r="G37" i="1"/>
  <c r="H37" i="1"/>
  <c r="E31" i="4"/>
  <c r="E19" i="4"/>
  <c r="E16" i="4"/>
  <c r="E15" i="4"/>
  <c r="E18" i="4"/>
  <c r="E35" i="4"/>
  <c r="I42" i="1"/>
  <c r="F21" i="1"/>
  <c r="G21" i="1"/>
  <c r="H21" i="1"/>
  <c r="F29" i="1"/>
  <c r="G29" i="1"/>
  <c r="H29" i="1"/>
  <c r="E25" i="4"/>
  <c r="E24" i="4"/>
  <c r="F28" i="1"/>
  <c r="G28" i="1"/>
  <c r="H28" i="1"/>
  <c r="F46" i="1"/>
  <c r="G46" i="1"/>
  <c r="K46" i="1"/>
  <c r="E21" i="4"/>
  <c r="G25" i="2"/>
  <c r="G54" i="1"/>
  <c r="K54" i="1"/>
  <c r="E45" i="1"/>
  <c r="F45" i="1"/>
  <c r="G45" i="1"/>
  <c r="E25" i="1"/>
  <c r="F25" i="1"/>
  <c r="G25" i="1"/>
  <c r="H25" i="1"/>
  <c r="E54" i="1"/>
  <c r="F54" i="1"/>
  <c r="E26" i="2"/>
  <c r="F26" i="2"/>
  <c r="G26" i="2"/>
  <c r="J26" i="2"/>
  <c r="E25" i="2"/>
  <c r="F25" i="2"/>
  <c r="E41" i="1"/>
  <c r="F41" i="1"/>
  <c r="G41" i="1"/>
  <c r="H41" i="1"/>
  <c r="E24" i="1"/>
  <c r="F24" i="1"/>
  <c r="G24" i="1"/>
  <c r="H24" i="1"/>
  <c r="E23" i="3"/>
  <c r="F23" i="3"/>
  <c r="G23" i="3"/>
  <c r="J23" i="3"/>
  <c r="E21" i="3"/>
  <c r="F21" i="3"/>
  <c r="G21" i="3"/>
  <c r="E34" i="1"/>
  <c r="F34" i="1"/>
  <c r="G34" i="1"/>
  <c r="H34" i="1"/>
  <c r="E50" i="1"/>
  <c r="F50" i="1"/>
  <c r="G50" i="1"/>
  <c r="K50" i="1"/>
  <c r="E55" i="1"/>
  <c r="F55" i="1"/>
  <c r="G55" i="1"/>
  <c r="K55" i="1"/>
  <c r="G53" i="1"/>
  <c r="K53" i="1"/>
  <c r="E33" i="1"/>
  <c r="F33" i="1"/>
  <c r="G33" i="1"/>
  <c r="H33" i="1"/>
  <c r="E39" i="4"/>
  <c r="E20" i="4"/>
  <c r="H21" i="3"/>
  <c r="E36" i="4"/>
  <c r="J25" i="2"/>
  <c r="K45" i="1"/>
  <c r="E37" i="4"/>
  <c r="E28" i="4"/>
  <c r="C12" i="1"/>
  <c r="C11" i="1"/>
  <c r="C11" i="3"/>
  <c r="C11" i="2"/>
  <c r="O58" i="1" l="1"/>
  <c r="F15" i="1"/>
  <c r="E29" i="4"/>
  <c r="G30" i="1"/>
  <c r="H30" i="1" s="1"/>
  <c r="E26" i="4"/>
  <c r="E13" i="4"/>
  <c r="E33" i="4"/>
  <c r="E40" i="4"/>
  <c r="E34" i="4"/>
  <c r="O57" i="1"/>
  <c r="O56" i="1"/>
  <c r="C16" i="1"/>
  <c r="D18" i="1" s="1"/>
  <c r="O46" i="1"/>
  <c r="O52" i="1"/>
  <c r="O53" i="1"/>
  <c r="O55" i="1"/>
  <c r="O50" i="1"/>
  <c r="O51" i="1"/>
  <c r="O45" i="1"/>
  <c r="O49" i="1"/>
  <c r="O42" i="1"/>
  <c r="C15" i="1"/>
  <c r="O44" i="1"/>
  <c r="O54" i="1"/>
  <c r="O48" i="1"/>
  <c r="O47" i="1"/>
  <c r="O43" i="1"/>
  <c r="C12" i="2"/>
  <c r="C12" i="3"/>
  <c r="F16" i="1" l="1"/>
  <c r="F18" i="1" s="1"/>
  <c r="O27" i="2"/>
  <c r="C16" i="2"/>
  <c r="D18" i="2" s="1"/>
  <c r="O25" i="2"/>
  <c r="O21" i="2"/>
  <c r="C15" i="2"/>
  <c r="C18" i="2" s="1"/>
  <c r="O24" i="2"/>
  <c r="O23" i="2"/>
  <c r="O22" i="2"/>
  <c r="O26" i="2"/>
  <c r="C16" i="3"/>
  <c r="D18" i="3" s="1"/>
  <c r="O23" i="3"/>
  <c r="O21" i="3"/>
  <c r="O22" i="3"/>
  <c r="O26" i="3"/>
  <c r="C15" i="3"/>
  <c r="O24" i="3"/>
  <c r="O25" i="3"/>
  <c r="O27" i="3"/>
  <c r="C18" i="1"/>
  <c r="F17" i="1" l="1"/>
  <c r="E16" i="2"/>
  <c r="E17" i="2" s="1"/>
  <c r="C18" i="3"/>
  <c r="E16" i="3"/>
  <c r="E17" i="3" s="1"/>
</calcChain>
</file>

<file path=xl/sharedStrings.xml><?xml version="1.0" encoding="utf-8"?>
<sst xmlns="http://schemas.openxmlformats.org/spreadsheetml/2006/main" count="477" uniqueCount="195">
  <si>
    <t>VSB-66</t>
  </si>
  <si>
    <t>Add cycle</t>
  </si>
  <si>
    <t>Old Cycle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</si>
  <si>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</si>
  <si>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</si>
  <si>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</si>
  <si>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</si>
  <si>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</si>
  <si>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</si>
  <si>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</si>
  <si>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</si>
  <si>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</si>
  <si>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</si>
  <si>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</si>
  <si>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</si>
  <si>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</si>
  <si>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</si>
  <si>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</si>
  <si>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</si>
  <si>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</si>
  <si>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</si>
  <si>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</si>
  <si>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</si>
  <si>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</si>
  <si>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</si>
  <si>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</si>
  <si>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</si>
  <si>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</si>
  <si>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</si>
  <si>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</si>
  <si>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</si>
  <si>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</si>
  <si>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</si>
  <si>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Bull.26</t>
  </si>
  <si>
    <t>B</t>
  </si>
  <si>
    <t>BBSAG</t>
  </si>
  <si>
    <t>IBVS 4739</t>
  </si>
  <si>
    <t>I</t>
  </si>
  <si>
    <t>II</t>
  </si>
  <si>
    <t>IBVS</t>
  </si>
  <si>
    <t>IBVS 5603</t>
  </si>
  <si>
    <t>More data are needed!</t>
  </si>
  <si>
    <t>EB/KE</t>
  </si>
  <si>
    <t># of data points:</t>
  </si>
  <si>
    <t>V Lep / GSC 05941-01022</t>
  </si>
  <si>
    <t>IBVS 5843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</si>
  <si>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</si>
  <si>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</si>
  <si>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</si>
  <si>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</si>
  <si>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</si>
  <si>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</si>
  <si>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</si>
  <si>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</si>
  <si>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</si>
  <si>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</si>
  <si>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</si>
  <si>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</si>
  <si>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</si>
  <si>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</si>
  <si>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</si>
  <si>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</si>
  <si>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</si>
  <si>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</si>
  <si>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</si>
  <si>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2414277.629 </t>
  </si>
  <si>
    <t> 19.12.1897 03:05 </t>
  </si>
  <si>
    <t> 0.006 </t>
  </si>
  <si>
    <t>P </t>
  </si>
  <si>
    <t> W.F.H.Waterfield </t>
  </si>
  <si>
    <t> HB 842.2 </t>
  </si>
  <si>
    <t>2414981.777 </t>
  </si>
  <si>
    <t> 23.11.1899 06:38 </t>
  </si>
  <si>
    <t> 0.025 </t>
  </si>
  <si>
    <t>2415481.505 </t>
  </si>
  <si>
    <t> 07.04.1901 00:07 </t>
  </si>
  <si>
    <t> 0.014 </t>
  </si>
  <si>
    <t>2416079.756 </t>
  </si>
  <si>
    <t> 26.11.1902 06:08 </t>
  </si>
  <si>
    <t> 0.077 </t>
  </si>
  <si>
    <t>2416476.711 </t>
  </si>
  <si>
    <t> 28.12.1903 05:03 </t>
  </si>
  <si>
    <t> 0.023 </t>
  </si>
  <si>
    <t>2416521.632 </t>
  </si>
  <si>
    <t> 11.02.1904 03:10 </t>
  </si>
  <si>
    <t> -0.001 </t>
  </si>
  <si>
    <t>2417135.887 </t>
  </si>
  <si>
    <t> 17.10.1905 09:17 </t>
  </si>
  <si>
    <t>2418278.730 </t>
  </si>
  <si>
    <t> 03.12.1908 05:31 </t>
  </si>
  <si>
    <t> -0.015 </t>
  </si>
  <si>
    <t>2418630.783 </t>
  </si>
  <si>
    <t> 20.11.1909 06:47 </t>
  </si>
  <si>
    <t> -0.026 </t>
  </si>
  <si>
    <t>2419451.588 </t>
  </si>
  <si>
    <t> 19.02.1912 02:06 </t>
  </si>
  <si>
    <t> 0.008 </t>
  </si>
  <si>
    <t>2420020.891 </t>
  </si>
  <si>
    <t> 10.09.1913 09:23 </t>
  </si>
  <si>
    <t> 0.016 </t>
  </si>
  <si>
    <t>2421224.720 </t>
  </si>
  <si>
    <t> 27.12.1916 05:16 </t>
  </si>
  <si>
    <t> -0.023 </t>
  </si>
  <si>
    <t>2421268.577 </t>
  </si>
  <si>
    <t> 09.02.1917 01:50 </t>
  </si>
  <si>
    <t> -0.041 </t>
  </si>
  <si>
    <t>2421957.744 </t>
  </si>
  <si>
    <t> 30.12.1918 05:51 </t>
  </si>
  <si>
    <t> -0.021 </t>
  </si>
  <si>
    <t>2424168.617 </t>
  </si>
  <si>
    <t> 18.01.1925 02:48 </t>
  </si>
  <si>
    <t> 0.015 </t>
  </si>
  <si>
    <t>2424549.561 </t>
  </si>
  <si>
    <t> 03.02.1926 01:27 </t>
  </si>
  <si>
    <t> 0.002 </t>
  </si>
  <si>
    <t>2426093.688 </t>
  </si>
  <si>
    <t> 27.04.1930 04:30 </t>
  </si>
  <si>
    <t> -0.032 </t>
  </si>
  <si>
    <t> S.Gaposchkin </t>
  </si>
  <si>
    <t> HA 113.74 </t>
  </si>
  <si>
    <t>2427386.435 </t>
  </si>
  <si>
    <t> 09.11.1933 22:26 </t>
  </si>
  <si>
    <t> 0.028 </t>
  </si>
  <si>
    <t>V </t>
  </si>
  <si>
    <t> W.Zessewitsch </t>
  </si>
  <si>
    <t> IODE 4.2.183 </t>
  </si>
  <si>
    <t>2427460.22 </t>
  </si>
  <si>
    <t> 22.01.1934 17:16 </t>
  </si>
  <si>
    <t> -0.02 </t>
  </si>
  <si>
    <t>2427461.308 </t>
  </si>
  <si>
    <t> 23.01.1934 19:23 </t>
  </si>
  <si>
    <t> -0.006 </t>
  </si>
  <si>
    <t>2442787.339 </t>
  </si>
  <si>
    <t> 09.01.1976 20:08 </t>
  </si>
  <si>
    <t> -0.016 </t>
  </si>
  <si>
    <t> R.Diethelm </t>
  </si>
  <si>
    <t> BBS 26 </t>
  </si>
  <si>
    <t>2443471.774 </t>
  </si>
  <si>
    <t> 24.11.1977 06:34 </t>
  </si>
  <si>
    <t> 0.087 </t>
  </si>
  <si>
    <t>E </t>
  </si>
  <si>
    <t>?</t>
  </si>
  <si>
    <t> Z.Kviz et al. </t>
  </si>
  <si>
    <t>IBVS 4739 </t>
  </si>
  <si>
    <t>2443478.727 </t>
  </si>
  <si>
    <t> 01.12.1977 05:26 </t>
  </si>
  <si>
    <t> 0.084 </t>
  </si>
  <si>
    <t>2452258.0137 </t>
  </si>
  <si>
    <t> 14.12.2001 12:19 </t>
  </si>
  <si>
    <t> 0.2313 </t>
  </si>
  <si>
    <t> Nagai </t>
  </si>
  <si>
    <t>VSB 39 </t>
  </si>
  <si>
    <t>2453352.7588 </t>
  </si>
  <si>
    <t> 13.12.2004 06:12 </t>
  </si>
  <si>
    <t> 0.2591 </t>
  </si>
  <si>
    <t> S.Dvorak </t>
  </si>
  <si>
    <t>IBVS 5603 </t>
  </si>
  <si>
    <t>2454054.7643 </t>
  </si>
  <si>
    <t> 15.11.2006 06:20 </t>
  </si>
  <si>
    <t> 0.2759 </t>
  </si>
  <si>
    <t>C </t>
  </si>
  <si>
    <t>-I</t>
  </si>
  <si>
    <t> W.Ogloza et al. </t>
  </si>
  <si>
    <t>IBVS 5843 </t>
  </si>
  <si>
    <t>2454069.7462 </t>
  </si>
  <si>
    <t> 30.11.2006 05:54 </t>
  </si>
  <si>
    <t>32890</t>
  </si>
  <si>
    <t> 0.2763 </t>
  </si>
  <si>
    <t>2455203.020 </t>
  </si>
  <si>
    <t> 06.01.2010 12:28 </t>
  </si>
  <si>
    <t>33949</t>
  </si>
  <si>
    <t> 0.309 </t>
  </si>
  <si>
    <t>Ic</t>
  </si>
  <si>
    <t> K.Nagai </t>
  </si>
  <si>
    <t>VSB 51 </t>
  </si>
  <si>
    <t>2455555.0887 </t>
  </si>
  <si>
    <t> 24.12.2010 14:07 </t>
  </si>
  <si>
    <t>34278</t>
  </si>
  <si>
    <t> 0.3134 </t>
  </si>
  <si>
    <t>2455583.9849 </t>
  </si>
  <si>
    <t> 22.01.2011 11:38 </t>
  </si>
  <si>
    <t>34305</t>
  </si>
  <si>
    <t> 0.3167 </t>
  </si>
  <si>
    <t>VSB 53 </t>
  </si>
  <si>
    <t>VSB 067</t>
  </si>
  <si>
    <t>19/12/1897</t>
  </si>
  <si>
    <t>23/11/1899</t>
  </si>
  <si>
    <t>JAAVSO 51, 138</t>
  </si>
  <si>
    <t>JBAV, 79</t>
  </si>
  <si>
    <t>VSX</t>
  </si>
  <si>
    <t>JBAV 96</t>
  </si>
  <si>
    <t xml:space="preserve">Mag </t>
  </si>
  <si>
    <t>Next ToM-P</t>
  </si>
  <si>
    <t>Next ToM-S</t>
  </si>
  <si>
    <t>9.60-10.10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</si>
</sst>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11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6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25" borderId="0" xfId="0" applyFont="1" applyFill="1" applyAlignment="1">
      <alignment vertical="center"/>
    </xf>
    <xf numFmtId="0" fontId="15" fillId="0" borderId="0" xfId="42" applyFont="1" applyAlignment="1">
      <alignment horizontal="left" vertical="center"/>
    </xf>
    <xf numFmtId="0" fontId="15" fillId="0" borderId="0" xfId="42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3" fontId="36" fillId="0" borderId="0" xfId="48" applyFont="1" applyBorder="1" applyAlignment="1">
      <alignment vertical="center"/>
    </xf>
    <xf numFmtId="43" fontId="36" fillId="0" borderId="0" xfId="48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38" fillId="0" borderId="21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0" fillId="26" borderId="19" xfId="0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22" fontId="39" fillId="0" borderId="24" xfId="0" applyNumberFormat="1" applyFont="1" applyBorder="1" applyAlignment="1">
      <alignment horizontal="right" vertical="center"/>
    </xf>
    <xf numFmtId="0" fontId="6" fillId="26" borderId="20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Lep - O-C Diagr.</a:t>
            </a:r>
          </a:p>
        </c:rich>
      </c:tx>
      <c:layout>
        <c:manualLayout>
          <c:xMode val="edge"/>
          <c:yMode val="edge"/>
          <c:x val="0.3553723346565150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23926380368099"/>
          <c:w val="0.758265227782424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  <c:pt idx="37">
                  <c:v>38774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6.1159999986557523E-3</c:v>
                </c:pt>
                <c:pt idx="1">
                  <c:v>2.5157599999147351E-2</c:v>
                </c:pt>
                <c:pt idx="2">
                  <c:v>1.4215999997759354E-2</c:v>
                </c:pt>
                <c:pt idx="3">
                  <c:v>7.6632799997241818E-2</c:v>
                </c:pt>
                <c:pt idx="4">
                  <c:v>2.2751999997126404E-2</c:v>
                </c:pt>
                <c:pt idx="5">
                  <c:v>-6.4960000236169435E-4</c:v>
                </c:pt>
                <c:pt idx="6">
                  <c:v>1.419519999762997E-2</c:v>
                </c:pt>
                <c:pt idx="7">
                  <c:v>-1.4731200000824174E-2</c:v>
                </c:pt>
                <c:pt idx="8">
                  <c:v>-2.6210400003037648E-2</c:v>
                </c:pt>
                <c:pt idx="9">
                  <c:v>0</c:v>
                </c:pt>
                <c:pt idx="10">
                  <c:v>8.4079999978712294E-3</c:v>
                </c:pt>
                <c:pt idx="11">
                  <c:v>1.5654399998311419E-2</c:v>
                </c:pt>
                <c:pt idx="12">
                  <c:v>-2.3245600001246203E-2</c:v>
                </c:pt>
                <c:pt idx="13">
                  <c:v>-4.0542400001868373E-2</c:v>
                </c:pt>
                <c:pt idx="14">
                  <c:v>-2.1033600001828745E-2</c:v>
                </c:pt>
                <c:pt idx="15">
                  <c:v>1.5449599995918106E-2</c:v>
                </c:pt>
                <c:pt idx="16">
                  <c:v>2.140799999324372E-3</c:v>
                </c:pt>
                <c:pt idx="17">
                  <c:v>-3.2085600003483705E-2</c:v>
                </c:pt>
                <c:pt idx="18">
                  <c:v>2.8315999999904307E-2</c:v>
                </c:pt>
                <c:pt idx="19">
                  <c:v>-2.3915199999464676E-2</c:v>
                </c:pt>
                <c:pt idx="20">
                  <c:v>-6.0200000007171184E-3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20-47DF-B95C-E2648AE1AE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  <c:pt idx="37">
                  <c:v>38774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1">
                  <c:v>-1.5965599995979574E-2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20-47DF-B95C-E2648AE1AE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9">
                    <c:v>0</c:v>
                  </c:pt>
                  <c:pt idx="22">
                    <c:v>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9">
                    <c:v>0</c:v>
                  </c:pt>
                  <c:pt idx="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  <c:pt idx="37">
                  <c:v>38774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2">
                  <c:v>8.7014799995813519E-2</c:v>
                </c:pt>
                <c:pt idx="23">
                  <c:v>8.433359999617096E-2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20-47DF-B95C-E2648AE1AE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  <c:pt idx="37">
                  <c:v>38774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4">
                  <c:v>0.23125440000876551</c:v>
                </c:pt>
                <c:pt idx="25">
                  <c:v>0.25914400000328897</c:v>
                </c:pt>
                <c:pt idx="26">
                  <c:v>0.27589520000765333</c:v>
                </c:pt>
                <c:pt idx="27">
                  <c:v>0.2763279999999213</c:v>
                </c:pt>
                <c:pt idx="28">
                  <c:v>0.30914479999773903</c:v>
                </c:pt>
                <c:pt idx="29">
                  <c:v>0.31336560000636382</c:v>
                </c:pt>
                <c:pt idx="30">
                  <c:v>0.31673600000067381</c:v>
                </c:pt>
                <c:pt idx="31">
                  <c:v>0.38672599999699742</c:v>
                </c:pt>
                <c:pt idx="32">
                  <c:v>0.38829840000107652</c:v>
                </c:pt>
                <c:pt idx="33">
                  <c:v>0.38979840000683907</c:v>
                </c:pt>
                <c:pt idx="34">
                  <c:v>0.3904984000037075</c:v>
                </c:pt>
                <c:pt idx="35">
                  <c:v>0.43100920000142651</c:v>
                </c:pt>
                <c:pt idx="36">
                  <c:v>0.42919519994757138</c:v>
                </c:pt>
                <c:pt idx="37">
                  <c:v>0.44248479999077972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20-47DF-B95C-E2648AE1AE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  <c:pt idx="37">
                  <c:v>38774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20-47DF-B95C-E2648AE1AE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  <c:pt idx="37">
                  <c:v>38774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20-47DF-B95C-E2648AE1AE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  <c:pt idx="37">
                  <c:v>38774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20-47DF-B95C-E2648AE1AE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  <c:pt idx="37">
                  <c:v>38774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21">
                  <c:v>3.2037121650081879E-2</c:v>
                </c:pt>
                <c:pt idx="22">
                  <c:v>4.7601105635170726E-2</c:v>
                </c:pt>
                <c:pt idx="23">
                  <c:v>4.7759300937599281E-2</c:v>
                </c:pt>
                <c:pt idx="24">
                  <c:v>0.24742611034130235</c:v>
                </c:pt>
                <c:pt idx="25">
                  <c:v>0.27232361716967735</c:v>
                </c:pt>
                <c:pt idx="26">
                  <c:v>0.28828917384554631</c:v>
                </c:pt>
                <c:pt idx="27">
                  <c:v>0.28862990218923867</c:v>
                </c:pt>
                <c:pt idx="28">
                  <c:v>0.31440356761567967</c:v>
                </c:pt>
                <c:pt idx="29">
                  <c:v>0.3224106836924493</c:v>
                </c:pt>
                <c:pt idx="30">
                  <c:v>0.32306780264099877</c:v>
                </c:pt>
                <c:pt idx="31">
                  <c:v>0.38117415410995803</c:v>
                </c:pt>
                <c:pt idx="32">
                  <c:v>0.38968019383284858</c:v>
                </c:pt>
                <c:pt idx="33">
                  <c:v>0.38968019383284858</c:v>
                </c:pt>
                <c:pt idx="34">
                  <c:v>0.38968019383284858</c:v>
                </c:pt>
                <c:pt idx="35">
                  <c:v>0.40711818370824515</c:v>
                </c:pt>
                <c:pt idx="36">
                  <c:v>0.42214673743896025</c:v>
                </c:pt>
                <c:pt idx="37">
                  <c:v>0.43183315749535633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20-47DF-B95C-E2648AE1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06592"/>
        <c:axId val="1"/>
      </c:scatterChart>
      <c:valAx>
        <c:axId val="526606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606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03327476627404"/>
          <c:y val="0.92024539877300615"/>
          <c:w val="0.863637231296501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Lep - O-C Diagr.</a:t>
            </a:r>
          </a:p>
        </c:rich>
      </c:tx>
      <c:layout>
        <c:manualLayout>
          <c:xMode val="edge"/>
          <c:yMode val="edge"/>
          <c:x val="0.3553723346565150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860681114551083"/>
          <c:w val="0.7747941700774088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8-4F6B-8CF1-1279ACFA1A5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B!$I$21:$I$992</c:f>
              <c:numCache>
                <c:formatCode>General</c:formatCode>
                <c:ptCount val="972"/>
                <c:pt idx="1">
                  <c:v>-1.5965599995979574E-2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C8-4F6B-8CF1-1279ACFA1A5A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B!$D$21:$D$43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B!$J$21:$J$992</c:f>
              <c:numCache>
                <c:formatCode>General</c:formatCode>
                <c:ptCount val="972"/>
                <c:pt idx="2">
                  <c:v>8.7014799995813519E-2</c:v>
                </c:pt>
                <c:pt idx="3">
                  <c:v>8.433359999617096E-2</c:v>
                </c:pt>
                <c:pt idx="4">
                  <c:v>0.25914400000328897</c:v>
                </c:pt>
                <c:pt idx="5">
                  <c:v>-0.25915720000193687</c:v>
                </c:pt>
                <c:pt idx="6">
                  <c:v>-0.25872439999511698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C8-4F6B-8CF1-1279ACFA1A5A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C8-4F6B-8CF1-1279ACFA1A5A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C8-4F6B-8CF1-1279ACFA1A5A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C8-4F6B-8CF1-1279ACFA1A5A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C8-4F6B-8CF1-1279ACFA1A5A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B!$O$21:$O$992</c:f>
              <c:numCache>
                <c:formatCode>General</c:formatCode>
                <c:ptCount val="972"/>
                <c:pt idx="0">
                  <c:v>0.40324521543225628</c:v>
                </c:pt>
                <c:pt idx="1">
                  <c:v>6.4261340454351723E-2</c:v>
                </c:pt>
                <c:pt idx="2">
                  <c:v>5.4560701082249419E-2</c:v>
                </c:pt>
                <c:pt idx="3">
                  <c:v>5.4462101933041185E-2</c:v>
                </c:pt>
                <c:pt idx="4">
                  <c:v>-8.5503182643014874E-2</c:v>
                </c:pt>
                <c:pt idx="5">
                  <c:v>-9.5461696713046384E-2</c:v>
                </c:pt>
                <c:pt idx="6">
                  <c:v>-9.5674064111341051E-2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C8-4F6B-8CF1-1279ACFA1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599256"/>
        <c:axId val="1"/>
      </c:scatterChart>
      <c:valAx>
        <c:axId val="743599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599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528925619834711E-2"/>
          <c:y val="0.91950464396284826"/>
          <c:w val="0.9752066115702480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Lep - O-C Diagr.</a:t>
            </a:r>
          </a:p>
        </c:rich>
      </c:tx>
      <c:layout>
        <c:manualLayout>
          <c:xMode val="edge"/>
          <c:yMode val="edge"/>
          <c:x val="0.3553723346565150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623974633561702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6C-4EEA-BB3F-2BEB7132669C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'C'!$D$21:$D$992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'C'!$I$21:$I$992</c:f>
              <c:numCache>
                <c:formatCode>General</c:formatCode>
                <c:ptCount val="972"/>
                <c:pt idx="1">
                  <c:v>3.8280985754681751E-3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6C-4EEA-BB3F-2BEB7132669C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'C'!$D$21:$D$43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'C'!$J$21:$J$992</c:f>
              <c:numCache>
                <c:formatCode>General</c:formatCode>
                <c:ptCount val="972"/>
                <c:pt idx="2">
                  <c:v>1.7775593005353585E-4</c:v>
                </c:pt>
                <c:pt idx="3">
                  <c:v>-3.5872592852683738E-3</c:v>
                </c:pt>
                <c:pt idx="4">
                  <c:v>0.23811307519645197</c:v>
                </c:pt>
                <c:pt idx="5">
                  <c:v>0.14548230932996375</c:v>
                </c:pt>
                <c:pt idx="6">
                  <c:v>0.14358073809853522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6C-4EEA-BB3F-2BEB7132669C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6C-4EEA-BB3F-2BEB7132669C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6C-4EEA-BB3F-2BEB7132669C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6C-4EEA-BB3F-2BEB7132669C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6C-4EEA-BB3F-2BEB7132669C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'C'!$O$21:$O$992</c:f>
              <c:numCache>
                <c:formatCode>General</c:formatCode>
                <c:ptCount val="972"/>
                <c:pt idx="0">
                  <c:v>-6.1722111006713043E-2</c:v>
                </c:pt>
                <c:pt idx="1">
                  <c:v>6.7223197340444435E-2</c:v>
                </c:pt>
                <c:pt idx="2">
                  <c:v>7.0913779598730159E-2</c:v>
                </c:pt>
                <c:pt idx="3">
                  <c:v>7.0951291380870668E-2</c:v>
                </c:pt>
                <c:pt idx="4">
                  <c:v>0.12419205232506927</c:v>
                </c:pt>
                <c:pt idx="5">
                  <c:v>0.12797785679955784</c:v>
                </c:pt>
                <c:pt idx="6">
                  <c:v>0.12805865140724509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6C-4EEA-BB3F-2BEB7132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599832"/>
        <c:axId val="1"/>
      </c:scatterChart>
      <c:valAx>
        <c:axId val="640599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59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528925619834711E-2"/>
          <c:y val="0.9190031152647975"/>
          <c:w val="0.97520661157024802"/>
          <c:h val="6.2305295950155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657225</xdr:colOff>
      <xdr:row>18</xdr:row>
      <xdr:rowOff>85724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69C7185-9C5E-A010-47DC-9FA7F6FF4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13</xdr:col>
      <xdr:colOff>66675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7DDF325-FF3F-A2AA-C566-9BEA73FA6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13</xdr:col>
      <xdr:colOff>76200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219D7DBC-5A40-DBFD-03C6-4FDC0204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vsolj.cetus-net.org/no39.pdf" TargetMode="External"/><Relationship Id="rId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4739" TargetMode="External"/><Relationship Id="rId1" Type="http://schemas.openxmlformats.org/officeDocument/2006/relationships/hyperlink" Target="http://www.konkoly.hu/cgi-bin/IBVS?4739" TargetMode="External"/><Relationship Id="rId6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www.konkoly.hu/cgi-bin/IBVS?5843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vsolj.cetus-net.org/vsoljno5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84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5.140625" style="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s="61" customFormat="1" ht="12.95" customHeight="1" x14ac:dyDescent="0.2">
      <c r="A2" s="61" t="s">
        <v>28</v>
      </c>
      <c r="B2" s="62" t="s">
        <v>42</v>
      </c>
      <c r="D2" s="63">
        <v>1.0701087</v>
      </c>
    </row>
    <row r="3" spans="1:6" s="61" customFormat="1" ht="12.95" customHeight="1" thickBot="1" x14ac:dyDescent="0.25">
      <c r="B3" s="64"/>
    </row>
    <row r="4" spans="1:6" s="61" customFormat="1" ht="12.95" customHeight="1" thickTop="1" thickBot="1" x14ac:dyDescent="0.25">
      <c r="A4" s="65" t="s">
        <v>3</v>
      </c>
      <c r="B4" s="64"/>
      <c r="C4" s="66">
        <v>18873.723000000002</v>
      </c>
      <c r="D4" s="67">
        <v>1.0701048</v>
      </c>
    </row>
    <row r="5" spans="1:6" s="61" customFormat="1" ht="12.95" customHeight="1" thickTop="1" x14ac:dyDescent="0.2">
      <c r="A5" s="68" t="s">
        <v>46</v>
      </c>
      <c r="C5" s="69">
        <v>-9.5</v>
      </c>
      <c r="D5" s="61" t="s">
        <v>47</v>
      </c>
    </row>
    <row r="6" spans="1:6" s="61" customFormat="1" ht="12.95" customHeight="1" x14ac:dyDescent="0.2">
      <c r="A6" s="65" t="s">
        <v>4</v>
      </c>
      <c r="B6" s="64"/>
    </row>
    <row r="7" spans="1:6" s="61" customFormat="1" ht="12.95" customHeight="1" x14ac:dyDescent="0.2">
      <c r="A7" s="61" t="s">
        <v>5</v>
      </c>
      <c r="B7" s="64"/>
      <c r="C7" s="61">
        <f>+C4</f>
        <v>18873.723000000002</v>
      </c>
      <c r="D7" s="90" t="s">
        <v>189</v>
      </c>
    </row>
    <row r="8" spans="1:6" s="61" customFormat="1" ht="12.95" customHeight="1" x14ac:dyDescent="0.2">
      <c r="A8" s="61" t="s">
        <v>6</v>
      </c>
      <c r="B8" s="64"/>
      <c r="C8" s="61">
        <f>+D4</f>
        <v>1.0701048</v>
      </c>
      <c r="D8" s="90" t="s">
        <v>189</v>
      </c>
    </row>
    <row r="9" spans="1:6" s="61" customFormat="1" ht="12.95" customHeight="1" x14ac:dyDescent="0.2">
      <c r="A9" s="70" t="s">
        <v>52</v>
      </c>
      <c r="B9" s="71">
        <v>42</v>
      </c>
      <c r="C9" s="72" t="str">
        <f>"F"&amp;B9</f>
        <v>F42</v>
      </c>
      <c r="D9" s="73" t="str">
        <f>"G"&amp;B9</f>
        <v>G42</v>
      </c>
    </row>
    <row r="10" spans="1:6" s="61" customFormat="1" ht="12.95" customHeight="1" thickBot="1" x14ac:dyDescent="0.25">
      <c r="C10" s="74" t="s">
        <v>24</v>
      </c>
      <c r="D10" s="74" t="s">
        <v>25</v>
      </c>
    </row>
    <row r="11" spans="1:6" s="61" customFormat="1" ht="12.95" customHeight="1" x14ac:dyDescent="0.2">
      <c r="A11" s="61" t="s">
        <v>19</v>
      </c>
      <c r="C11" s="73">
        <f ca="1">INTERCEPT(INDIRECT($D$9):G991,INDIRECT($C$9):F991)</f>
        <v>-0.51183832809937613</v>
      </c>
      <c r="D11" s="64"/>
    </row>
    <row r="12" spans="1:6" s="61" customFormat="1" ht="12.95" customHeight="1" x14ac:dyDescent="0.2">
      <c r="A12" s="61" t="s">
        <v>20</v>
      </c>
      <c r="C12" s="73">
        <f ca="1">SLOPE(INDIRECT($D$9):G991,INDIRECT($C$9):F991)</f>
        <v>2.4337738835166154E-5</v>
      </c>
      <c r="D12" s="64"/>
      <c r="E12" s="107" t="s">
        <v>191</v>
      </c>
      <c r="F12" s="112" t="s">
        <v>194</v>
      </c>
    </row>
    <row r="13" spans="1:6" s="61" customFormat="1" ht="12.95" customHeight="1" x14ac:dyDescent="0.2">
      <c r="A13" s="61" t="s">
        <v>23</v>
      </c>
      <c r="C13" s="64" t="s">
        <v>17</v>
      </c>
      <c r="E13" s="105" t="s">
        <v>1</v>
      </c>
      <c r="F13" s="108">
        <v>1</v>
      </c>
    </row>
    <row r="14" spans="1:6" s="61" customFormat="1" ht="12.95" customHeight="1" x14ac:dyDescent="0.2">
      <c r="E14" s="105" t="s">
        <v>48</v>
      </c>
      <c r="F14" s="109">
        <f ca="1">NOW()+15018.5+$C$5/24</f>
        <v>60681.648645254631</v>
      </c>
    </row>
    <row r="15" spans="1:6" s="61" customFormat="1" ht="12.95" customHeight="1" x14ac:dyDescent="0.2">
      <c r="A15" s="63" t="s">
        <v>21</v>
      </c>
      <c r="C15" s="75">
        <f ca="1">(C7+C11)+(C8+C12)*INT(MAX(F21:F3532))</f>
        <v>60366.398348357499</v>
      </c>
      <c r="E15" s="105" t="s">
        <v>2</v>
      </c>
      <c r="F15" s="109">
        <f ca="1">ROUND(2*($F$14-$C$7)/$C$8,0)/2+$F$13</f>
        <v>39070</v>
      </c>
    </row>
    <row r="16" spans="1:6" s="61" customFormat="1" ht="12.95" customHeight="1" x14ac:dyDescent="0.2">
      <c r="A16" s="65" t="s">
        <v>7</v>
      </c>
      <c r="C16" s="77">
        <f ca="1">+C8+C12</f>
        <v>1.0701291377388351</v>
      </c>
      <c r="E16" s="105" t="s">
        <v>49</v>
      </c>
      <c r="F16" s="109">
        <f ca="1">ROUND(2*($F$14-$C$15)/$C$16,0)/2+$F$13</f>
        <v>295.5</v>
      </c>
    </row>
    <row r="17" spans="1:17" s="61" customFormat="1" ht="12.95" customHeight="1" thickBot="1" x14ac:dyDescent="0.25">
      <c r="A17" s="76" t="s">
        <v>43</v>
      </c>
      <c r="C17" s="61">
        <f>COUNT(C21:C2190)</f>
        <v>38</v>
      </c>
      <c r="E17" s="105" t="s">
        <v>192</v>
      </c>
      <c r="F17" s="110">
        <f ca="1">+$C$15+$C$16*$F$16-15018.5-$C$5/24</f>
        <v>45664.517341892664</v>
      </c>
    </row>
    <row r="18" spans="1:17" s="61" customFormat="1" ht="12.95" customHeight="1" thickTop="1" thickBot="1" x14ac:dyDescent="0.25">
      <c r="A18" s="65" t="s">
        <v>8</v>
      </c>
      <c r="C18" s="66">
        <f ca="1">+C15</f>
        <v>60366.398348357499</v>
      </c>
      <c r="D18" s="104">
        <f ca="1">+C16</f>
        <v>1.0701291377388351</v>
      </c>
      <c r="E18" s="106" t="s">
        <v>193</v>
      </c>
      <c r="F18" s="111">
        <f ca="1">+($C$15+$C$16*$F$16)-($C$16/2)-15018.5-$C$5/24</f>
        <v>45663.982277323797</v>
      </c>
    </row>
    <row r="19" spans="1:17" s="61" customFormat="1" ht="12.95" customHeight="1" thickTop="1" x14ac:dyDescent="0.2">
      <c r="B19" s="64"/>
      <c r="E19" s="76"/>
      <c r="F19" s="78"/>
    </row>
    <row r="20" spans="1:17" s="61" customFormat="1" ht="12.95" customHeight="1" thickBot="1" x14ac:dyDescent="0.25">
      <c r="A20" s="74" t="s">
        <v>9</v>
      </c>
      <c r="B20" s="74" t="s">
        <v>10</v>
      </c>
      <c r="C20" s="74" t="s">
        <v>11</v>
      </c>
      <c r="D20" s="74" t="s">
        <v>16</v>
      </c>
      <c r="E20" s="74" t="s">
        <v>12</v>
      </c>
      <c r="F20" s="74" t="s">
        <v>13</v>
      </c>
      <c r="G20" s="74" t="s">
        <v>14</v>
      </c>
      <c r="H20" s="79" t="s">
        <v>60</v>
      </c>
      <c r="I20" s="79" t="s">
        <v>63</v>
      </c>
      <c r="J20" s="79" t="s">
        <v>57</v>
      </c>
      <c r="K20" s="79" t="s">
        <v>55</v>
      </c>
      <c r="L20" s="79" t="s">
        <v>29</v>
      </c>
      <c r="M20" s="79" t="s">
        <v>30</v>
      </c>
      <c r="N20" s="79" t="s">
        <v>31</v>
      </c>
      <c r="O20" s="79" t="s">
        <v>27</v>
      </c>
      <c r="P20" s="80" t="s">
        <v>26</v>
      </c>
      <c r="Q20" s="74" t="s">
        <v>18</v>
      </c>
    </row>
    <row r="21" spans="1:17" s="61" customFormat="1" ht="12.95" customHeight="1" x14ac:dyDescent="0.2">
      <c r="A21" s="81" t="s">
        <v>70</v>
      </c>
      <c r="B21" s="82" t="s">
        <v>37</v>
      </c>
      <c r="C21" s="83">
        <v>14277.629000000001</v>
      </c>
      <c r="D21" s="84"/>
      <c r="E21" s="61">
        <f t="shared" ref="E21:E51" si="0">+(C21-C$7)/C$8</f>
        <v>-4294.9942846719323</v>
      </c>
      <c r="F21" s="61">
        <f t="shared" ref="F21:F46" si="1">ROUND(2*E21,0)/2</f>
        <v>-4295</v>
      </c>
      <c r="G21" s="61">
        <f t="shared" ref="G21:G51" si="2">+C21-(C$7+F21*C$8)</f>
        <v>6.1159999986557523E-3</v>
      </c>
      <c r="H21" s="61">
        <f t="shared" ref="H21:H41" si="3">+G21</f>
        <v>6.1159999986557523E-3</v>
      </c>
      <c r="Q21" s="85" t="s">
        <v>185</v>
      </c>
    </row>
    <row r="22" spans="1:17" s="61" customFormat="1" ht="12.95" customHeight="1" x14ac:dyDescent="0.2">
      <c r="A22" s="81" t="s">
        <v>70</v>
      </c>
      <c r="B22" s="82" t="s">
        <v>37</v>
      </c>
      <c r="C22" s="83">
        <v>14981.777</v>
      </c>
      <c r="D22" s="84"/>
      <c r="E22" s="61">
        <f t="shared" si="0"/>
        <v>-3636.9764905269108</v>
      </c>
      <c r="F22" s="61">
        <f t="shared" si="1"/>
        <v>-3637</v>
      </c>
      <c r="G22" s="61">
        <f t="shared" si="2"/>
        <v>2.5157599999147351E-2</v>
      </c>
      <c r="H22" s="61">
        <f t="shared" si="3"/>
        <v>2.5157599999147351E-2</v>
      </c>
      <c r="Q22" s="85" t="s">
        <v>186</v>
      </c>
    </row>
    <row r="23" spans="1:17" s="61" customFormat="1" ht="12.95" customHeight="1" x14ac:dyDescent="0.2">
      <c r="A23" s="81" t="s">
        <v>70</v>
      </c>
      <c r="B23" s="82" t="s">
        <v>37</v>
      </c>
      <c r="C23" s="83">
        <v>15481.504999999999</v>
      </c>
      <c r="D23" s="84"/>
      <c r="E23" s="61">
        <f t="shared" si="0"/>
        <v>-3169.9867153198479</v>
      </c>
      <c r="F23" s="61">
        <f t="shared" si="1"/>
        <v>-3170</v>
      </c>
      <c r="G23" s="61">
        <f t="shared" si="2"/>
        <v>1.4215999997759354E-2</v>
      </c>
      <c r="H23" s="61">
        <f t="shared" si="3"/>
        <v>1.4215999997759354E-2</v>
      </c>
      <c r="Q23" s="86">
        <f t="shared" ref="Q23:Q51" si="4">+C23-15018.5</f>
        <v>463.0049999999992</v>
      </c>
    </row>
    <row r="24" spans="1:17" s="61" customFormat="1" ht="12.95" customHeight="1" x14ac:dyDescent="0.2">
      <c r="A24" s="81" t="s">
        <v>70</v>
      </c>
      <c r="B24" s="82" t="s">
        <v>37</v>
      </c>
      <c r="C24" s="83">
        <v>16079.755999999999</v>
      </c>
      <c r="D24" s="84"/>
      <c r="E24" s="61">
        <f t="shared" si="0"/>
        <v>-2610.9283875747519</v>
      </c>
      <c r="F24" s="61">
        <f t="shared" si="1"/>
        <v>-2611</v>
      </c>
      <c r="G24" s="61">
        <f t="shared" si="2"/>
        <v>7.6632799997241818E-2</v>
      </c>
      <c r="H24" s="61">
        <f t="shared" si="3"/>
        <v>7.6632799997241818E-2</v>
      </c>
      <c r="Q24" s="86">
        <f t="shared" si="4"/>
        <v>1061.2559999999994</v>
      </c>
    </row>
    <row r="25" spans="1:17" s="61" customFormat="1" ht="12.95" customHeight="1" x14ac:dyDescent="0.2">
      <c r="A25" s="81" t="s">
        <v>70</v>
      </c>
      <c r="B25" s="82" t="s">
        <v>37</v>
      </c>
      <c r="C25" s="83">
        <v>16476.710999999999</v>
      </c>
      <c r="D25" s="84"/>
      <c r="E25" s="61">
        <f t="shared" si="0"/>
        <v>-2239.9787385310324</v>
      </c>
      <c r="F25" s="61">
        <f t="shared" si="1"/>
        <v>-2240</v>
      </c>
      <c r="G25" s="61">
        <f t="shared" si="2"/>
        <v>2.2751999997126404E-2</v>
      </c>
      <c r="H25" s="61">
        <f t="shared" si="3"/>
        <v>2.2751999997126404E-2</v>
      </c>
      <c r="Q25" s="86">
        <f t="shared" si="4"/>
        <v>1458.2109999999993</v>
      </c>
    </row>
    <row r="26" spans="1:17" s="61" customFormat="1" ht="12.95" customHeight="1" x14ac:dyDescent="0.2">
      <c r="A26" s="81" t="s">
        <v>70</v>
      </c>
      <c r="B26" s="82" t="s">
        <v>37</v>
      </c>
      <c r="C26" s="83">
        <v>16521.632000000001</v>
      </c>
      <c r="D26" s="84"/>
      <c r="E26" s="61">
        <f t="shared" si="0"/>
        <v>-2198.0006070433478</v>
      </c>
      <c r="F26" s="61">
        <f t="shared" si="1"/>
        <v>-2198</v>
      </c>
      <c r="G26" s="61">
        <f t="shared" si="2"/>
        <v>-6.4960000236169435E-4</v>
      </c>
      <c r="H26" s="61">
        <f t="shared" si="3"/>
        <v>-6.4960000236169435E-4</v>
      </c>
      <c r="Q26" s="86">
        <f t="shared" si="4"/>
        <v>1503.1320000000014</v>
      </c>
    </row>
    <row r="27" spans="1:17" s="61" customFormat="1" ht="12.95" customHeight="1" x14ac:dyDescent="0.2">
      <c r="A27" s="81" t="s">
        <v>70</v>
      </c>
      <c r="B27" s="82" t="s">
        <v>37</v>
      </c>
      <c r="C27" s="83">
        <v>17135.886999999999</v>
      </c>
      <c r="D27" s="84"/>
      <c r="E27" s="61">
        <f t="shared" si="0"/>
        <v>-1623.9867347571967</v>
      </c>
      <c r="F27" s="61">
        <f t="shared" si="1"/>
        <v>-1624</v>
      </c>
      <c r="G27" s="61">
        <f t="shared" si="2"/>
        <v>1.419519999762997E-2</v>
      </c>
      <c r="H27" s="61">
        <f t="shared" si="3"/>
        <v>1.419519999762997E-2</v>
      </c>
      <c r="Q27" s="86">
        <f t="shared" si="4"/>
        <v>2117.3869999999988</v>
      </c>
    </row>
    <row r="28" spans="1:17" s="61" customFormat="1" ht="12.95" customHeight="1" x14ac:dyDescent="0.2">
      <c r="A28" s="81" t="s">
        <v>70</v>
      </c>
      <c r="B28" s="82" t="s">
        <v>37</v>
      </c>
      <c r="C28" s="83">
        <v>18278.73</v>
      </c>
      <c r="D28" s="84"/>
      <c r="E28" s="61">
        <f t="shared" si="0"/>
        <v>-556.01376612832894</v>
      </c>
      <c r="F28" s="61">
        <f t="shared" si="1"/>
        <v>-556</v>
      </c>
      <c r="G28" s="61">
        <f t="shared" si="2"/>
        <v>-1.4731200000824174E-2</v>
      </c>
      <c r="H28" s="61">
        <f t="shared" si="3"/>
        <v>-1.4731200000824174E-2</v>
      </c>
      <c r="Q28" s="86">
        <f t="shared" si="4"/>
        <v>3260.2299999999996</v>
      </c>
    </row>
    <row r="29" spans="1:17" s="61" customFormat="1" ht="12.95" customHeight="1" x14ac:dyDescent="0.2">
      <c r="A29" s="81" t="s">
        <v>70</v>
      </c>
      <c r="B29" s="82" t="s">
        <v>37</v>
      </c>
      <c r="C29" s="83">
        <v>18630.782999999999</v>
      </c>
      <c r="D29" s="84"/>
      <c r="E29" s="61">
        <f t="shared" si="0"/>
        <v>-227.02449330196663</v>
      </c>
      <c r="F29" s="61">
        <f t="shared" si="1"/>
        <v>-227</v>
      </c>
      <c r="G29" s="61">
        <f t="shared" si="2"/>
        <v>-2.6210400003037648E-2</v>
      </c>
      <c r="H29" s="61">
        <f t="shared" si="3"/>
        <v>-2.6210400003037648E-2</v>
      </c>
      <c r="Q29" s="86">
        <f t="shared" si="4"/>
        <v>3612.2829999999994</v>
      </c>
    </row>
    <row r="30" spans="1:17" s="61" customFormat="1" ht="12.95" customHeight="1" x14ac:dyDescent="0.2">
      <c r="A30" s="87" t="str">
        <f>$D$7</f>
        <v>VSX</v>
      </c>
      <c r="B30" s="88"/>
      <c r="C30" s="11">
        <f>$C$7</f>
        <v>18873.723000000002</v>
      </c>
      <c r="D30" s="84" t="s">
        <v>17</v>
      </c>
      <c r="E30" s="61">
        <f t="shared" si="0"/>
        <v>0</v>
      </c>
      <c r="F30" s="61">
        <f t="shared" si="1"/>
        <v>0</v>
      </c>
      <c r="G30" s="61">
        <f t="shared" si="2"/>
        <v>0</v>
      </c>
      <c r="H30" s="61">
        <f t="shared" si="3"/>
        <v>0</v>
      </c>
      <c r="Q30" s="86">
        <f t="shared" si="4"/>
        <v>3855.2230000000018</v>
      </c>
    </row>
    <row r="31" spans="1:17" s="61" customFormat="1" ht="12.95" customHeight="1" x14ac:dyDescent="0.2">
      <c r="A31" s="81" t="s">
        <v>70</v>
      </c>
      <c r="B31" s="82" t="s">
        <v>37</v>
      </c>
      <c r="C31" s="83">
        <v>19451.588</v>
      </c>
      <c r="D31" s="84"/>
      <c r="E31" s="61">
        <f t="shared" si="0"/>
        <v>540.00785717436088</v>
      </c>
      <c r="F31" s="61">
        <f t="shared" si="1"/>
        <v>540</v>
      </c>
      <c r="G31" s="61">
        <f t="shared" si="2"/>
        <v>8.4079999978712294E-3</v>
      </c>
      <c r="H31" s="61">
        <f t="shared" si="3"/>
        <v>8.4079999978712294E-3</v>
      </c>
      <c r="Q31" s="86">
        <f t="shared" si="4"/>
        <v>4433.0879999999997</v>
      </c>
    </row>
    <row r="32" spans="1:17" s="61" customFormat="1" ht="12.95" customHeight="1" x14ac:dyDescent="0.2">
      <c r="A32" s="81" t="s">
        <v>70</v>
      </c>
      <c r="B32" s="82" t="s">
        <v>37</v>
      </c>
      <c r="C32" s="83">
        <v>20020.891</v>
      </c>
      <c r="D32" s="84"/>
      <c r="E32" s="61">
        <f t="shared" si="0"/>
        <v>1072.0146288475651</v>
      </c>
      <c r="F32" s="61">
        <f t="shared" si="1"/>
        <v>1072</v>
      </c>
      <c r="G32" s="61">
        <f t="shared" si="2"/>
        <v>1.5654399998311419E-2</v>
      </c>
      <c r="H32" s="61">
        <f t="shared" si="3"/>
        <v>1.5654399998311419E-2</v>
      </c>
      <c r="Q32" s="86">
        <f t="shared" si="4"/>
        <v>5002.3909999999996</v>
      </c>
    </row>
    <row r="33" spans="1:30" s="61" customFormat="1" ht="12.95" customHeight="1" x14ac:dyDescent="0.2">
      <c r="A33" s="81" t="s">
        <v>70</v>
      </c>
      <c r="B33" s="82" t="s">
        <v>37</v>
      </c>
      <c r="C33" s="83">
        <v>21224.720000000001</v>
      </c>
      <c r="D33" s="84"/>
      <c r="E33" s="61">
        <f t="shared" si="0"/>
        <v>2196.9782772677959</v>
      </c>
      <c r="F33" s="61">
        <f t="shared" si="1"/>
        <v>2197</v>
      </c>
      <c r="G33" s="61">
        <f t="shared" si="2"/>
        <v>-2.3245600001246203E-2</v>
      </c>
      <c r="H33" s="61">
        <f t="shared" si="3"/>
        <v>-2.3245600001246203E-2</v>
      </c>
      <c r="Q33" s="86">
        <f t="shared" si="4"/>
        <v>6206.2200000000012</v>
      </c>
    </row>
    <row r="34" spans="1:30" s="61" customFormat="1" ht="12.95" customHeight="1" x14ac:dyDescent="0.2">
      <c r="A34" s="81" t="s">
        <v>70</v>
      </c>
      <c r="B34" s="82" t="s">
        <v>37</v>
      </c>
      <c r="C34" s="83">
        <v>21268.577000000001</v>
      </c>
      <c r="D34" s="84"/>
      <c r="E34" s="61">
        <f t="shared" si="0"/>
        <v>2237.9621136172827</v>
      </c>
      <c r="F34" s="61">
        <f t="shared" si="1"/>
        <v>2238</v>
      </c>
      <c r="G34" s="61">
        <f t="shared" si="2"/>
        <v>-4.0542400001868373E-2</v>
      </c>
      <c r="H34" s="61">
        <f t="shared" si="3"/>
        <v>-4.0542400001868373E-2</v>
      </c>
      <c r="Q34" s="86">
        <f t="shared" si="4"/>
        <v>6250.0770000000011</v>
      </c>
    </row>
    <row r="35" spans="1:30" s="61" customFormat="1" ht="12.95" customHeight="1" x14ac:dyDescent="0.2">
      <c r="A35" s="81" t="s">
        <v>70</v>
      </c>
      <c r="B35" s="82" t="s">
        <v>37</v>
      </c>
      <c r="C35" s="83">
        <v>21957.743999999999</v>
      </c>
      <c r="D35" s="84"/>
      <c r="E35" s="61">
        <f t="shared" si="0"/>
        <v>2881.980344355055</v>
      </c>
      <c r="F35" s="61">
        <f t="shared" si="1"/>
        <v>2882</v>
      </c>
      <c r="G35" s="61">
        <f t="shared" si="2"/>
        <v>-2.1033600001828745E-2</v>
      </c>
      <c r="H35" s="61">
        <f t="shared" si="3"/>
        <v>-2.1033600001828745E-2</v>
      </c>
      <c r="Q35" s="86">
        <f t="shared" si="4"/>
        <v>6939.2439999999988</v>
      </c>
    </row>
    <row r="36" spans="1:30" s="61" customFormat="1" ht="12.95" customHeight="1" x14ac:dyDescent="0.2">
      <c r="A36" s="81" t="s">
        <v>70</v>
      </c>
      <c r="B36" s="82" t="s">
        <v>37</v>
      </c>
      <c r="C36" s="83">
        <v>24168.616999999998</v>
      </c>
      <c r="D36" s="84"/>
      <c r="E36" s="61">
        <f t="shared" si="0"/>
        <v>4948.0144374644397</v>
      </c>
      <c r="F36" s="61">
        <f t="shared" si="1"/>
        <v>4948</v>
      </c>
      <c r="G36" s="61">
        <f t="shared" si="2"/>
        <v>1.5449599995918106E-2</v>
      </c>
      <c r="H36" s="61">
        <f t="shared" si="3"/>
        <v>1.5449599995918106E-2</v>
      </c>
      <c r="Q36" s="86">
        <f t="shared" si="4"/>
        <v>9150.1169999999984</v>
      </c>
    </row>
    <row r="37" spans="1:30" s="61" customFormat="1" ht="12.95" customHeight="1" x14ac:dyDescent="0.2">
      <c r="A37" s="81" t="s">
        <v>70</v>
      </c>
      <c r="B37" s="82" t="s">
        <v>37</v>
      </c>
      <c r="C37" s="83">
        <v>24549.561000000002</v>
      </c>
      <c r="D37" s="84"/>
      <c r="E37" s="61">
        <f t="shared" si="0"/>
        <v>5304.0020005517217</v>
      </c>
      <c r="F37" s="61">
        <f t="shared" si="1"/>
        <v>5304</v>
      </c>
      <c r="G37" s="61">
        <f t="shared" si="2"/>
        <v>2.140799999324372E-3</v>
      </c>
      <c r="H37" s="61">
        <f t="shared" si="3"/>
        <v>2.140799999324372E-3</v>
      </c>
      <c r="Q37" s="86">
        <f t="shared" si="4"/>
        <v>9531.0610000000015</v>
      </c>
    </row>
    <row r="38" spans="1:30" s="61" customFormat="1" ht="12.95" customHeight="1" x14ac:dyDescent="0.2">
      <c r="A38" s="81" t="s">
        <v>119</v>
      </c>
      <c r="B38" s="82" t="s">
        <v>37</v>
      </c>
      <c r="C38" s="83">
        <v>26093.687999999998</v>
      </c>
      <c r="D38" s="84"/>
      <c r="E38" s="61">
        <f t="shared" si="0"/>
        <v>6746.9700163946527</v>
      </c>
      <c r="F38" s="61">
        <f t="shared" si="1"/>
        <v>6747</v>
      </c>
      <c r="G38" s="61">
        <f t="shared" si="2"/>
        <v>-3.2085600003483705E-2</v>
      </c>
      <c r="H38" s="61">
        <f t="shared" si="3"/>
        <v>-3.2085600003483705E-2</v>
      </c>
      <c r="Q38" s="86">
        <f t="shared" si="4"/>
        <v>11075.187999999998</v>
      </c>
    </row>
    <row r="39" spans="1:30" s="61" customFormat="1" ht="12.95" customHeight="1" x14ac:dyDescent="0.2">
      <c r="A39" s="81" t="s">
        <v>125</v>
      </c>
      <c r="B39" s="82" t="s">
        <v>37</v>
      </c>
      <c r="C39" s="83">
        <v>27386.435000000001</v>
      </c>
      <c r="D39" s="84"/>
      <c r="E39" s="61">
        <f t="shared" si="0"/>
        <v>7955.0264609597116</v>
      </c>
      <c r="F39" s="61">
        <f t="shared" si="1"/>
        <v>7955</v>
      </c>
      <c r="G39" s="61">
        <f t="shared" si="2"/>
        <v>2.8315999999904307E-2</v>
      </c>
      <c r="H39" s="61">
        <f t="shared" si="3"/>
        <v>2.8315999999904307E-2</v>
      </c>
      <c r="Q39" s="86">
        <f t="shared" si="4"/>
        <v>12367.935000000001</v>
      </c>
    </row>
    <row r="40" spans="1:30" s="61" customFormat="1" ht="12.95" customHeight="1" x14ac:dyDescent="0.2">
      <c r="A40" s="81" t="s">
        <v>125</v>
      </c>
      <c r="B40" s="82" t="s">
        <v>37</v>
      </c>
      <c r="C40" s="83">
        <v>27460.22</v>
      </c>
      <c r="D40" s="84"/>
      <c r="E40" s="61">
        <f t="shared" si="0"/>
        <v>8023.9776515346903</v>
      </c>
      <c r="F40" s="61">
        <f t="shared" si="1"/>
        <v>8024</v>
      </c>
      <c r="G40" s="61">
        <f t="shared" si="2"/>
        <v>-2.3915199999464676E-2</v>
      </c>
      <c r="H40" s="61">
        <f t="shared" si="3"/>
        <v>-2.3915199999464676E-2</v>
      </c>
      <c r="Q40" s="86">
        <f t="shared" si="4"/>
        <v>12441.720000000001</v>
      </c>
    </row>
    <row r="41" spans="1:30" s="61" customFormat="1" ht="12.95" customHeight="1" x14ac:dyDescent="0.2">
      <c r="A41" s="81" t="s">
        <v>125</v>
      </c>
      <c r="B41" s="82" t="s">
        <v>37</v>
      </c>
      <c r="C41" s="83">
        <v>27461.308000000001</v>
      </c>
      <c r="D41" s="84"/>
      <c r="E41" s="61">
        <f t="shared" si="0"/>
        <v>8024.9943743827698</v>
      </c>
      <c r="F41" s="61">
        <f t="shared" si="1"/>
        <v>8025</v>
      </c>
      <c r="G41" s="61">
        <f t="shared" si="2"/>
        <v>-6.0200000007171184E-3</v>
      </c>
      <c r="H41" s="61">
        <f t="shared" si="3"/>
        <v>-6.0200000007171184E-3</v>
      </c>
      <c r="Q41" s="86">
        <f t="shared" si="4"/>
        <v>12442.808000000001</v>
      </c>
    </row>
    <row r="42" spans="1:30" s="61" customFormat="1" ht="12.95" customHeight="1" x14ac:dyDescent="0.2">
      <c r="A42" s="87" t="s">
        <v>33</v>
      </c>
      <c r="B42" s="88"/>
      <c r="C42" s="11">
        <v>42787.339</v>
      </c>
      <c r="D42" s="84"/>
      <c r="E42" s="61">
        <f t="shared" si="0"/>
        <v>22346.985080339793</v>
      </c>
      <c r="F42" s="61">
        <f t="shared" si="1"/>
        <v>22347</v>
      </c>
      <c r="G42" s="61">
        <f t="shared" si="2"/>
        <v>-1.5965599995979574E-2</v>
      </c>
      <c r="I42" s="61">
        <f>+G42</f>
        <v>-1.5965599995979574E-2</v>
      </c>
      <c r="O42" s="61">
        <f t="shared" ref="O42:O51" ca="1" si="5">+C$11+C$12*$F42</f>
        <v>3.2037121650081879E-2</v>
      </c>
      <c r="Q42" s="86">
        <f t="shared" si="4"/>
        <v>27768.839</v>
      </c>
      <c r="AA42" s="61">
        <v>6</v>
      </c>
      <c r="AB42" s="61" t="s">
        <v>32</v>
      </c>
      <c r="AD42" s="61" t="s">
        <v>34</v>
      </c>
    </row>
    <row r="43" spans="1:30" s="61" customFormat="1" ht="12.95" customHeight="1" x14ac:dyDescent="0.2">
      <c r="A43" s="87" t="s">
        <v>36</v>
      </c>
      <c r="B43" s="89" t="s">
        <v>38</v>
      </c>
      <c r="C43" s="11">
        <v>43471.773999999998</v>
      </c>
      <c r="D43" s="84">
        <v>1E-3</v>
      </c>
      <c r="E43" s="61">
        <f t="shared" si="0"/>
        <v>22986.581314278748</v>
      </c>
      <c r="F43" s="61">
        <f t="shared" si="1"/>
        <v>22986.5</v>
      </c>
      <c r="G43" s="61">
        <f t="shared" si="2"/>
        <v>8.7014799995813519E-2</v>
      </c>
      <c r="J43" s="61">
        <f>+G43</f>
        <v>8.7014799995813519E-2</v>
      </c>
      <c r="O43" s="61">
        <f t="shared" ca="1" si="5"/>
        <v>4.7601105635170726E-2</v>
      </c>
      <c r="Q43" s="86">
        <f t="shared" si="4"/>
        <v>28453.273999999998</v>
      </c>
    </row>
    <row r="44" spans="1:30" s="61" customFormat="1" ht="12.95" customHeight="1" x14ac:dyDescent="0.2">
      <c r="A44" s="87" t="s">
        <v>36</v>
      </c>
      <c r="B44" s="89" t="s">
        <v>37</v>
      </c>
      <c r="C44" s="11">
        <v>43478.726999999999</v>
      </c>
      <c r="D44" s="84">
        <v>3.0000000000000001E-3</v>
      </c>
      <c r="E44" s="61">
        <f t="shared" si="0"/>
        <v>22993.078808729759</v>
      </c>
      <c r="F44" s="61">
        <f t="shared" si="1"/>
        <v>22993</v>
      </c>
      <c r="G44" s="61">
        <f t="shared" si="2"/>
        <v>8.433359999617096E-2</v>
      </c>
      <c r="J44" s="61">
        <f>+G44</f>
        <v>8.433359999617096E-2</v>
      </c>
      <c r="O44" s="61">
        <f t="shared" ca="1" si="5"/>
        <v>4.7759300937599281E-2</v>
      </c>
      <c r="Q44" s="86">
        <f t="shared" si="4"/>
        <v>28460.226999999999</v>
      </c>
    </row>
    <row r="45" spans="1:30" s="90" customFormat="1" ht="12.95" customHeight="1" x14ac:dyDescent="0.2">
      <c r="A45" s="81" t="s">
        <v>151</v>
      </c>
      <c r="B45" s="82" t="s">
        <v>37</v>
      </c>
      <c r="C45" s="83">
        <v>52258.013700000003</v>
      </c>
      <c r="D45" s="56"/>
      <c r="E45" s="90">
        <f t="shared" si="0"/>
        <v>31197.216104441359</v>
      </c>
      <c r="F45" s="90">
        <f t="shared" si="1"/>
        <v>31197</v>
      </c>
      <c r="G45" s="90">
        <f t="shared" si="2"/>
        <v>0.23125440000876551</v>
      </c>
      <c r="K45" s="90">
        <f t="shared" ref="K45:K52" si="6">+G45</f>
        <v>0.23125440000876551</v>
      </c>
      <c r="O45" s="90">
        <f t="shared" ca="1" si="5"/>
        <v>0.24742611034130235</v>
      </c>
      <c r="Q45" s="85">
        <f t="shared" si="4"/>
        <v>37239.513700000003</v>
      </c>
    </row>
    <row r="46" spans="1:30" s="90" customFormat="1" ht="12.95" customHeight="1" x14ac:dyDescent="0.2">
      <c r="A46" s="56" t="s">
        <v>40</v>
      </c>
      <c r="B46" s="57" t="s">
        <v>37</v>
      </c>
      <c r="C46" s="56">
        <v>53352.758800000003</v>
      </c>
      <c r="D46" s="56">
        <v>2.0000000000000001E-4</v>
      </c>
      <c r="E46" s="90">
        <f t="shared" si="0"/>
        <v>32220.242166935423</v>
      </c>
      <c r="F46" s="90">
        <f t="shared" si="1"/>
        <v>32220</v>
      </c>
      <c r="G46" s="90">
        <f t="shared" si="2"/>
        <v>0.25914400000328897</v>
      </c>
      <c r="K46" s="90">
        <f t="shared" si="6"/>
        <v>0.25914400000328897</v>
      </c>
      <c r="O46" s="90">
        <f t="shared" ca="1" si="5"/>
        <v>0.27232361716967735</v>
      </c>
      <c r="Q46" s="85">
        <f t="shared" si="4"/>
        <v>38334.258800000003</v>
      </c>
    </row>
    <row r="47" spans="1:30" s="90" customFormat="1" ht="12.95" customHeight="1" x14ac:dyDescent="0.2">
      <c r="A47" s="91" t="s">
        <v>45</v>
      </c>
      <c r="B47" s="89" t="s">
        <v>37</v>
      </c>
      <c r="C47" s="92">
        <v>54054.764300000003</v>
      </c>
      <c r="D47" s="92">
        <v>5.0000000000000001E-4</v>
      </c>
      <c r="E47" s="90">
        <f t="shared" si="0"/>
        <v>32876.257820729334</v>
      </c>
      <c r="F47" s="93">
        <f t="shared" ref="F47:F55" si="7">ROUND(2*E47,0)/2-0.5</f>
        <v>32876</v>
      </c>
      <c r="G47" s="90">
        <f t="shared" si="2"/>
        <v>0.27589520000765333</v>
      </c>
      <c r="K47" s="90">
        <f t="shared" si="6"/>
        <v>0.27589520000765333</v>
      </c>
      <c r="O47" s="90">
        <f t="shared" ca="1" si="5"/>
        <v>0.28828917384554631</v>
      </c>
      <c r="Q47" s="85">
        <f t="shared" si="4"/>
        <v>39036.264300000003</v>
      </c>
    </row>
    <row r="48" spans="1:30" s="90" customFormat="1" ht="12.95" customHeight="1" x14ac:dyDescent="0.2">
      <c r="A48" s="91" t="s">
        <v>45</v>
      </c>
      <c r="B48" s="89" t="s">
        <v>37</v>
      </c>
      <c r="C48" s="92">
        <v>54069.746200000001</v>
      </c>
      <c r="D48" s="92">
        <v>5.0000000000000001E-4</v>
      </c>
      <c r="E48" s="90">
        <f t="shared" si="0"/>
        <v>32890.258225175698</v>
      </c>
      <c r="F48" s="93">
        <f t="shared" si="7"/>
        <v>32890</v>
      </c>
      <c r="G48" s="90">
        <f t="shared" si="2"/>
        <v>0.2763279999999213</v>
      </c>
      <c r="K48" s="90">
        <f t="shared" si="6"/>
        <v>0.2763279999999213</v>
      </c>
      <c r="O48" s="90">
        <f t="shared" ca="1" si="5"/>
        <v>0.28862990218923867</v>
      </c>
      <c r="Q48" s="85">
        <f t="shared" si="4"/>
        <v>39051.246200000001</v>
      </c>
    </row>
    <row r="49" spans="1:17" s="90" customFormat="1" ht="12.95" customHeight="1" x14ac:dyDescent="0.2">
      <c r="A49" s="81" t="s">
        <v>174</v>
      </c>
      <c r="B49" s="82" t="s">
        <v>37</v>
      </c>
      <c r="C49" s="83">
        <v>55203.02</v>
      </c>
      <c r="D49" s="56"/>
      <c r="E49" s="90">
        <f t="shared" si="0"/>
        <v>33949.288892078599</v>
      </c>
      <c r="F49" s="93">
        <f t="shared" si="7"/>
        <v>33949</v>
      </c>
      <c r="G49" s="90">
        <f t="shared" si="2"/>
        <v>0.30914479999773903</v>
      </c>
      <c r="K49" s="90">
        <f t="shared" si="6"/>
        <v>0.30914479999773903</v>
      </c>
      <c r="O49" s="90">
        <f t="shared" ca="1" si="5"/>
        <v>0.31440356761567967</v>
      </c>
      <c r="Q49" s="85">
        <f t="shared" si="4"/>
        <v>40184.519999999997</v>
      </c>
    </row>
    <row r="50" spans="1:17" s="90" customFormat="1" ht="12.95" customHeight="1" x14ac:dyDescent="0.2">
      <c r="A50" s="81" t="s">
        <v>174</v>
      </c>
      <c r="B50" s="82" t="s">
        <v>37</v>
      </c>
      <c r="C50" s="83">
        <v>55555.0887</v>
      </c>
      <c r="D50" s="56"/>
      <c r="E50" s="90">
        <f t="shared" si="0"/>
        <v>34278.292836365181</v>
      </c>
      <c r="F50" s="93">
        <f t="shared" si="7"/>
        <v>34278</v>
      </c>
      <c r="G50" s="90">
        <f t="shared" si="2"/>
        <v>0.31336560000636382</v>
      </c>
      <c r="K50" s="90">
        <f t="shared" si="6"/>
        <v>0.31336560000636382</v>
      </c>
      <c r="O50" s="90">
        <f t="shared" ca="1" si="5"/>
        <v>0.3224106836924493</v>
      </c>
      <c r="Q50" s="85">
        <f t="shared" si="4"/>
        <v>40536.5887</v>
      </c>
    </row>
    <row r="51" spans="1:17" s="90" customFormat="1" ht="12.95" customHeight="1" x14ac:dyDescent="0.2">
      <c r="A51" s="81" t="s">
        <v>183</v>
      </c>
      <c r="B51" s="82" t="s">
        <v>37</v>
      </c>
      <c r="C51" s="83">
        <v>55583.984900000003</v>
      </c>
      <c r="D51" s="56"/>
      <c r="E51" s="90">
        <f t="shared" si="0"/>
        <v>34305.295985963246</v>
      </c>
      <c r="F51" s="93">
        <f t="shared" si="7"/>
        <v>34305</v>
      </c>
      <c r="G51" s="90">
        <f t="shared" si="2"/>
        <v>0.31673600000067381</v>
      </c>
      <c r="K51" s="90">
        <f t="shared" si="6"/>
        <v>0.31673600000067381</v>
      </c>
      <c r="O51" s="90">
        <f t="shared" ca="1" si="5"/>
        <v>0.32306780264099877</v>
      </c>
      <c r="Q51" s="85">
        <f t="shared" si="4"/>
        <v>40565.484900000003</v>
      </c>
    </row>
    <row r="52" spans="1:17" s="90" customFormat="1" ht="12.95" customHeight="1" x14ac:dyDescent="0.2">
      <c r="A52" s="94" t="s">
        <v>0</v>
      </c>
      <c r="B52" s="95" t="s">
        <v>38</v>
      </c>
      <c r="C52" s="94">
        <v>58138.930099999998</v>
      </c>
      <c r="D52" s="94" t="s">
        <v>17</v>
      </c>
      <c r="E52" s="90">
        <f t="shared" ref="E52:E57" si="8">+(C52-C$7)/C$8</f>
        <v>36692.861390772196</v>
      </c>
      <c r="F52" s="93">
        <f t="shared" si="7"/>
        <v>36692.5</v>
      </c>
      <c r="G52" s="90">
        <f t="shared" ref="G52:G57" si="9">+C52-(C$7+F52*C$8)</f>
        <v>0.38672599999699742</v>
      </c>
      <c r="K52" s="90">
        <f t="shared" si="6"/>
        <v>0.38672599999699742</v>
      </c>
      <c r="O52" s="90">
        <f t="shared" ref="O52:O57" ca="1" si="10">+C$11+C$12*$F52</f>
        <v>0.38117415410995803</v>
      </c>
      <c r="Q52" s="85">
        <f t="shared" ref="Q52:Q57" si="11">+C52-15018.5</f>
        <v>43120.430099999998</v>
      </c>
    </row>
    <row r="53" spans="1:17" s="90" customFormat="1" ht="12.95" customHeight="1" x14ac:dyDescent="0.2">
      <c r="A53" s="96" t="s">
        <v>184</v>
      </c>
      <c r="B53" s="97" t="s">
        <v>37</v>
      </c>
      <c r="C53" s="98">
        <v>58512.933299999997</v>
      </c>
      <c r="D53" s="98" t="s">
        <v>34</v>
      </c>
      <c r="E53" s="90">
        <f t="shared" si="8"/>
        <v>37042.362860160982</v>
      </c>
      <c r="F53" s="93">
        <f t="shared" si="7"/>
        <v>37042</v>
      </c>
      <c r="G53" s="90">
        <f t="shared" si="9"/>
        <v>0.38829840000107652</v>
      </c>
      <c r="K53" s="90">
        <f>+G53</f>
        <v>0.38829840000107652</v>
      </c>
      <c r="O53" s="90">
        <f t="shared" ca="1" si="10"/>
        <v>0.38968019383284858</v>
      </c>
      <c r="Q53" s="85">
        <f t="shared" si="11"/>
        <v>43494.433299999997</v>
      </c>
    </row>
    <row r="54" spans="1:17" s="90" customFormat="1" ht="12.95" customHeight="1" x14ac:dyDescent="0.2">
      <c r="A54" s="96" t="s">
        <v>184</v>
      </c>
      <c r="B54" s="97" t="s">
        <v>37</v>
      </c>
      <c r="C54" s="98">
        <v>58512.934800000003</v>
      </c>
      <c r="D54" s="98" t="s">
        <v>62</v>
      </c>
      <c r="E54" s="90">
        <f t="shared" si="8"/>
        <v>37042.364261892857</v>
      </c>
      <c r="F54" s="93">
        <f t="shared" si="7"/>
        <v>37042</v>
      </c>
      <c r="G54" s="90">
        <f t="shared" si="9"/>
        <v>0.38979840000683907</v>
      </c>
      <c r="K54" s="90">
        <f>+G54</f>
        <v>0.38979840000683907</v>
      </c>
      <c r="O54" s="90">
        <f t="shared" ca="1" si="10"/>
        <v>0.38968019383284858</v>
      </c>
      <c r="Q54" s="85">
        <f t="shared" si="11"/>
        <v>43494.434800000003</v>
      </c>
    </row>
    <row r="55" spans="1:17" s="90" customFormat="1" ht="12.95" customHeight="1" x14ac:dyDescent="0.2">
      <c r="A55" s="96" t="s">
        <v>184</v>
      </c>
      <c r="B55" s="97" t="s">
        <v>37</v>
      </c>
      <c r="C55" s="98">
        <v>58512.9355</v>
      </c>
      <c r="D55" s="98" t="s">
        <v>172</v>
      </c>
      <c r="E55" s="90">
        <f t="shared" si="8"/>
        <v>37042.364916034385</v>
      </c>
      <c r="F55" s="93">
        <f t="shared" si="7"/>
        <v>37042</v>
      </c>
      <c r="G55" s="90">
        <f t="shared" si="9"/>
        <v>0.3904984000037075</v>
      </c>
      <c r="K55" s="90">
        <f>+G55</f>
        <v>0.3904984000037075</v>
      </c>
      <c r="O55" s="90">
        <f t="shared" ca="1" si="10"/>
        <v>0.38968019383284858</v>
      </c>
      <c r="Q55" s="85">
        <f t="shared" si="11"/>
        <v>43494.4355</v>
      </c>
    </row>
    <row r="56" spans="1:17" s="90" customFormat="1" ht="12.95" customHeight="1" x14ac:dyDescent="0.2">
      <c r="A56" s="54" t="s">
        <v>187</v>
      </c>
      <c r="B56" s="55" t="s">
        <v>37</v>
      </c>
      <c r="C56" s="58">
        <v>59279.706100000003</v>
      </c>
      <c r="D56" s="59">
        <v>1.9E-3</v>
      </c>
      <c r="E56" s="90">
        <f t="shared" si="8"/>
        <v>37758.90277288729</v>
      </c>
      <c r="F56" s="90">
        <f t="shared" ref="F56" si="12">ROUND(2*E56,0)/2-0.5</f>
        <v>37758.5</v>
      </c>
      <c r="G56" s="90">
        <f t="shared" si="9"/>
        <v>0.43100920000142651</v>
      </c>
      <c r="K56" s="90">
        <f>+G56</f>
        <v>0.43100920000142651</v>
      </c>
      <c r="O56" s="90">
        <f t="shared" ca="1" si="10"/>
        <v>0.40711818370824515</v>
      </c>
      <c r="Q56" s="85">
        <f t="shared" si="11"/>
        <v>44261.206100000003</v>
      </c>
    </row>
    <row r="57" spans="1:17" s="90" customFormat="1" ht="12.95" customHeight="1" x14ac:dyDescent="0.2">
      <c r="A57" s="99" t="s">
        <v>188</v>
      </c>
      <c r="B57" s="100" t="s">
        <v>37</v>
      </c>
      <c r="C57" s="60">
        <v>59940.493999999948</v>
      </c>
      <c r="D57" s="59">
        <v>3.0000000000000001E-3</v>
      </c>
      <c r="E57" s="90">
        <f t="shared" si="8"/>
        <v>38376.401077726172</v>
      </c>
      <c r="F57" s="90">
        <f t="shared" ref="F57" si="13">ROUND(2*E57,0)/2-0.5</f>
        <v>38376</v>
      </c>
      <c r="G57" s="90">
        <f t="shared" si="9"/>
        <v>0.42919519994757138</v>
      </c>
      <c r="K57" s="90">
        <f>+G57</f>
        <v>0.42919519994757138</v>
      </c>
      <c r="O57" s="90">
        <f t="shared" ca="1" si="10"/>
        <v>0.42214673743896025</v>
      </c>
      <c r="Q57" s="85">
        <f t="shared" si="11"/>
        <v>44921.993999999948</v>
      </c>
    </row>
    <row r="58" spans="1:17" s="90" customFormat="1" ht="12.95" customHeight="1" x14ac:dyDescent="0.2">
      <c r="A58" s="102" t="s">
        <v>190</v>
      </c>
      <c r="B58" s="103" t="s">
        <v>37</v>
      </c>
      <c r="C58" s="60">
        <v>60366.408999999985</v>
      </c>
      <c r="D58" s="102">
        <v>5.0000000000000001E-3</v>
      </c>
      <c r="E58" s="90">
        <f t="shared" ref="E58" si="14">+(C58-C$7)/C$8</f>
        <v>38774.413496696761</v>
      </c>
      <c r="F58" s="90">
        <f t="shared" ref="F58" si="15">ROUND(2*E58,0)/2-0.5</f>
        <v>38774</v>
      </c>
      <c r="G58" s="90">
        <f t="shared" ref="G58" si="16">+C58-(C$7+F58*C$8)</f>
        <v>0.44248479999077972</v>
      </c>
      <c r="K58" s="90">
        <f>+G58</f>
        <v>0.44248479999077972</v>
      </c>
      <c r="O58" s="90">
        <f t="shared" ref="O58" ca="1" si="17">+C$11+C$12*$F58</f>
        <v>0.43183315749535633</v>
      </c>
      <c r="Q58" s="85">
        <f t="shared" ref="Q58" si="18">+C58-15018.5</f>
        <v>45347.908999999985</v>
      </c>
    </row>
    <row r="59" spans="1:17" s="90" customFormat="1" ht="12.95" customHeight="1" x14ac:dyDescent="0.2">
      <c r="B59" s="101"/>
      <c r="C59" s="56"/>
      <c r="D59" s="56"/>
    </row>
    <row r="60" spans="1:17" s="90" customFormat="1" ht="12.95" customHeight="1" x14ac:dyDescent="0.2">
      <c r="B60" s="101"/>
      <c r="C60" s="56"/>
      <c r="D60" s="56"/>
    </row>
    <row r="61" spans="1:17" s="90" customFormat="1" ht="12.95" customHeight="1" x14ac:dyDescent="0.2">
      <c r="B61" s="101"/>
      <c r="C61" s="56"/>
      <c r="D61" s="56"/>
    </row>
    <row r="62" spans="1:17" s="90" customFormat="1" ht="12.95" customHeight="1" x14ac:dyDescent="0.2">
      <c r="B62" s="101"/>
      <c r="C62" s="56"/>
      <c r="D62" s="56"/>
    </row>
    <row r="63" spans="1:17" s="90" customFormat="1" ht="12.95" customHeight="1" x14ac:dyDescent="0.2">
      <c r="B63" s="101"/>
      <c r="C63" s="56"/>
      <c r="D63" s="56"/>
    </row>
    <row r="64" spans="1:17" s="90" customFormat="1" ht="12.95" customHeight="1" x14ac:dyDescent="0.2">
      <c r="B64" s="101"/>
      <c r="C64" s="56"/>
      <c r="D64" s="56"/>
    </row>
    <row r="65" spans="2:2" s="61" customFormat="1" ht="12.95" customHeight="1" x14ac:dyDescent="0.2">
      <c r="B65" s="64"/>
    </row>
    <row r="66" spans="2:2" s="61" customFormat="1" ht="12.95" customHeight="1" x14ac:dyDescent="0.2">
      <c r="B66" s="64"/>
    </row>
    <row r="67" spans="2:2" s="61" customFormat="1" ht="12.95" customHeight="1" x14ac:dyDescent="0.2">
      <c r="B67" s="64"/>
    </row>
    <row r="68" spans="2:2" s="61" customFormat="1" ht="12.95" customHeight="1" x14ac:dyDescent="0.2">
      <c r="B68" s="64"/>
    </row>
    <row r="69" spans="2:2" s="61" customFormat="1" ht="12.95" customHeight="1" x14ac:dyDescent="0.2">
      <c r="B69" s="64"/>
    </row>
    <row r="70" spans="2:2" s="61" customFormat="1" ht="12.95" customHeight="1" x14ac:dyDescent="0.2">
      <c r="B70" s="64"/>
    </row>
    <row r="71" spans="2:2" s="61" customFormat="1" ht="12.95" customHeight="1" x14ac:dyDescent="0.2">
      <c r="B71" s="64"/>
    </row>
    <row r="72" spans="2:2" s="61" customFormat="1" ht="12.95" customHeight="1" x14ac:dyDescent="0.2">
      <c r="B72" s="64"/>
    </row>
    <row r="73" spans="2:2" s="61" customFormat="1" ht="12.95" customHeight="1" x14ac:dyDescent="0.2">
      <c r="B73" s="64"/>
    </row>
    <row r="74" spans="2:2" s="61" customFormat="1" ht="12.95" customHeight="1" x14ac:dyDescent="0.2">
      <c r="B74" s="64"/>
    </row>
    <row r="75" spans="2:2" s="61" customFormat="1" ht="12.95" customHeight="1" x14ac:dyDescent="0.2">
      <c r="B75" s="64"/>
    </row>
    <row r="76" spans="2:2" s="61" customFormat="1" ht="12.95" customHeight="1" x14ac:dyDescent="0.2">
      <c r="B76" s="64"/>
    </row>
    <row r="77" spans="2:2" s="61" customFormat="1" ht="12.95" customHeight="1" x14ac:dyDescent="0.2">
      <c r="B77" s="64"/>
    </row>
    <row r="78" spans="2:2" s="61" customFormat="1" ht="12.95" customHeight="1" x14ac:dyDescent="0.2">
      <c r="B78" s="64"/>
    </row>
    <row r="79" spans="2:2" s="61" customFormat="1" ht="12.95" customHeight="1" x14ac:dyDescent="0.2">
      <c r="B79" s="64"/>
    </row>
    <row r="80" spans="2:2" s="61" customFormat="1" ht="12.95" customHeight="1" x14ac:dyDescent="0.2">
      <c r="B80" s="64"/>
    </row>
    <row r="81" spans="2:2" s="61" customFormat="1" ht="12.95" customHeight="1" x14ac:dyDescent="0.2">
      <c r="B81" s="64"/>
    </row>
    <row r="82" spans="2:2" s="61" customFormat="1" ht="12.95" customHeight="1" x14ac:dyDescent="0.2">
      <c r="B82" s="64"/>
    </row>
    <row r="83" spans="2:2" s="61" customFormat="1" ht="12.95" customHeight="1" x14ac:dyDescent="0.2">
      <c r="B83" s="64"/>
    </row>
    <row r="84" spans="2:2" s="61" customFormat="1" ht="12.95" customHeight="1" x14ac:dyDescent="0.2">
      <c r="B84" s="64"/>
    </row>
  </sheetData>
  <protectedRanges>
    <protectedRange sqref="A53:D55" name="Range1"/>
  </protectedRanges>
  <phoneticPr fontId="8" type="noConversion"/>
  <hyperlinks>
    <hyperlink ref="H63919" r:id="rId1" display="http://vsolj.cetus-net.org/bulletin.html" xr:uid="{00000000-0004-0000-0000-000000000000}"/>
    <hyperlink ref="H63912" r:id="rId2" display="https://www.aavso.org/ejaavso" xr:uid="{00000000-0004-0000-0000-000001000000}"/>
    <hyperlink ref="I63919" r:id="rId3" display="http://vsolj.cetus-net.org/bulletin.html" xr:uid="{00000000-0004-0000-0000-000002000000}"/>
    <hyperlink ref="AQ57570" r:id="rId4" display="http://cdsbib.u-strasbg.fr/cgi-bin/cdsbib?1990RMxAA..21..381G" xr:uid="{00000000-0004-0000-0000-000003000000}"/>
    <hyperlink ref="H63916" r:id="rId5" display="https://www.aavso.org/ejaavso" xr:uid="{00000000-0004-0000-0000-000004000000}"/>
    <hyperlink ref="AP4934" r:id="rId6" display="http://cdsbib.u-strasbg.fr/cgi-bin/cdsbib?1990RMxAA..21..381G" xr:uid="{00000000-0004-0000-0000-000005000000}"/>
    <hyperlink ref="AP4937" r:id="rId7" display="http://cdsbib.u-strasbg.fr/cgi-bin/cdsbib?1990RMxAA..21..381G" xr:uid="{00000000-0004-0000-0000-000006000000}"/>
    <hyperlink ref="AP4935" r:id="rId8" display="http://cdsbib.u-strasbg.fr/cgi-bin/cdsbib?1990RMxAA..21..381G" xr:uid="{00000000-0004-0000-0000-000007000000}"/>
    <hyperlink ref="AP4919" r:id="rId9" display="http://cdsbib.u-strasbg.fr/cgi-bin/cdsbib?1990RMxAA..21..381G" xr:uid="{00000000-0004-0000-0000-000008000000}"/>
    <hyperlink ref="AQ5148" r:id="rId10" display="http://cdsbib.u-strasbg.fr/cgi-bin/cdsbib?1990RMxAA..21..381G" xr:uid="{00000000-0004-0000-0000-000009000000}"/>
    <hyperlink ref="AQ5152" r:id="rId11" display="http://cdsbib.u-strasbg.fr/cgi-bin/cdsbib?1990RMxAA..21..381G" xr:uid="{00000000-0004-0000-0000-00000A000000}"/>
    <hyperlink ref="AQ64832" r:id="rId12" display="http://cdsbib.u-strasbg.fr/cgi-bin/cdsbib?1990RMxAA..21..381G" xr:uid="{00000000-0004-0000-0000-00000B000000}"/>
    <hyperlink ref="I2040" r:id="rId13" display="http://vsolj.cetus-net.org/bulletin.html" xr:uid="{00000000-0004-0000-0000-00000C000000}"/>
    <hyperlink ref="H2040" r:id="rId14" display="http://vsolj.cetus-net.org/bulletin.html" xr:uid="{00000000-0004-0000-0000-00000D000000}"/>
    <hyperlink ref="AQ65493" r:id="rId15" display="http://cdsbib.u-strasbg.fr/cgi-bin/cdsbib?1990RMxAA..21..381G" xr:uid="{00000000-0004-0000-0000-00000E000000}"/>
    <hyperlink ref="AQ65492" r:id="rId16" display="http://cdsbib.u-strasbg.fr/cgi-bin/cdsbib?1990RMxAA..21..381G" xr:uid="{00000000-0004-0000-0000-00000F000000}"/>
    <hyperlink ref="AP3210" r:id="rId17" display="http://cdsbib.u-strasbg.fr/cgi-bin/cdsbib?1990RMxAA..21..381G" xr:uid="{00000000-0004-0000-0000-000010000000}"/>
    <hyperlink ref="AP3228" r:id="rId18" display="http://cdsbib.u-strasbg.fr/cgi-bin/cdsbib?1990RMxAA..21..381G" xr:uid="{00000000-0004-0000-0000-000011000000}"/>
    <hyperlink ref="AP3229" r:id="rId19" display="http://cdsbib.u-strasbg.fr/cgi-bin/cdsbib?1990RMxAA..21..381G" xr:uid="{00000000-0004-0000-0000-000012000000}"/>
    <hyperlink ref="AP322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4"/>
  <sheetViews>
    <sheetView workbookViewId="0">
      <selection activeCell="A17" sqref="A17:C40"/>
    </sheetView>
  </sheetViews>
  <sheetFormatPr defaultRowHeight="12.75" x14ac:dyDescent="0.2"/>
  <cols>
    <col min="1" max="1" width="19.7109375" style="15" customWidth="1"/>
    <col min="2" max="2" width="4.42578125" style="21" customWidth="1"/>
    <col min="3" max="3" width="12.7109375" style="15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5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1" t="s">
        <v>53</v>
      </c>
      <c r="I1" s="42" t="s">
        <v>54</v>
      </c>
      <c r="J1" s="43" t="s">
        <v>55</v>
      </c>
    </row>
    <row r="2" spans="1:16" x14ac:dyDescent="0.2">
      <c r="I2" s="44" t="s">
        <v>56</v>
      </c>
      <c r="J2" s="45" t="s">
        <v>57</v>
      </c>
    </row>
    <row r="3" spans="1:16" x14ac:dyDescent="0.2">
      <c r="A3" s="46" t="s">
        <v>58</v>
      </c>
      <c r="I3" s="44" t="s">
        <v>59</v>
      </c>
      <c r="J3" s="45" t="s">
        <v>60</v>
      </c>
    </row>
    <row r="4" spans="1:16" x14ac:dyDescent="0.2">
      <c r="I4" s="44" t="s">
        <v>61</v>
      </c>
      <c r="J4" s="45" t="s">
        <v>60</v>
      </c>
    </row>
    <row r="5" spans="1:16" ht="13.5" thickBot="1" x14ac:dyDescent="0.25">
      <c r="I5" s="47" t="s">
        <v>62</v>
      </c>
      <c r="J5" s="48" t="s">
        <v>63</v>
      </c>
    </row>
    <row r="10" spans="1:16" ht="13.5" thickBot="1" x14ac:dyDescent="0.25"/>
    <row r="11" spans="1:16" ht="12.75" customHeight="1" thickBot="1" x14ac:dyDescent="0.25">
      <c r="A11" s="15" t="str">
        <f t="shared" ref="A11:A40" si="0">P11</f>
        <v> BBS 26 </v>
      </c>
      <c r="B11" s="5" t="str">
        <f t="shared" ref="B11:B40" si="1">IF(H11=INT(H11),"I","II")</f>
        <v>I</v>
      </c>
      <c r="C11" s="15">
        <f t="shared" ref="C11:C40" si="2">1*G11</f>
        <v>42787.339</v>
      </c>
      <c r="D11" s="21" t="str">
        <f t="shared" ref="D11:D40" si="3">VLOOKUP(F11,I$1:J$5,2,FALSE)</f>
        <v>vis</v>
      </c>
      <c r="E11" s="49">
        <f>VLOOKUP(C11,Active!C$21:E$973,3,FALSE)</f>
        <v>22346.985080339793</v>
      </c>
      <c r="F11" s="5" t="s">
        <v>62</v>
      </c>
      <c r="G11" s="21" t="str">
        <f t="shared" ref="G11:G40" si="4">MID(I11,3,LEN(I11)-3)</f>
        <v>42787.339</v>
      </c>
      <c r="H11" s="15">
        <f t="shared" ref="H11:H40" si="5">1*K11</f>
        <v>22347</v>
      </c>
      <c r="I11" s="50" t="s">
        <v>132</v>
      </c>
      <c r="J11" s="51" t="s">
        <v>133</v>
      </c>
      <c r="K11" s="50">
        <v>22347</v>
      </c>
      <c r="L11" s="50" t="s">
        <v>134</v>
      </c>
      <c r="M11" s="51" t="s">
        <v>123</v>
      </c>
      <c r="N11" s="51"/>
      <c r="O11" s="52" t="s">
        <v>135</v>
      </c>
      <c r="P11" s="52" t="s">
        <v>136</v>
      </c>
    </row>
    <row r="12" spans="1:16" ht="12.75" customHeight="1" thickBot="1" x14ac:dyDescent="0.25">
      <c r="A12" s="15" t="str">
        <f t="shared" si="0"/>
        <v>IBVS 4739 </v>
      </c>
      <c r="B12" s="5" t="str">
        <f t="shared" si="1"/>
        <v>II</v>
      </c>
      <c r="C12" s="15">
        <f t="shared" si="2"/>
        <v>43471.773999999998</v>
      </c>
      <c r="D12" s="21" t="str">
        <f t="shared" si="3"/>
        <v>vis</v>
      </c>
      <c r="E12" s="49">
        <f>VLOOKUP(C12,Active!C$21:E$973,3,FALSE)</f>
        <v>22986.581314278748</v>
      </c>
      <c r="F12" s="5" t="s">
        <v>62</v>
      </c>
      <c r="G12" s="21" t="str">
        <f t="shared" si="4"/>
        <v>43471.774</v>
      </c>
      <c r="H12" s="15">
        <f t="shared" si="5"/>
        <v>22986.5</v>
      </c>
      <c r="I12" s="50" t="s">
        <v>137</v>
      </c>
      <c r="J12" s="51" t="s">
        <v>138</v>
      </c>
      <c r="K12" s="50">
        <v>22986.5</v>
      </c>
      <c r="L12" s="50" t="s">
        <v>139</v>
      </c>
      <c r="M12" s="51" t="s">
        <v>140</v>
      </c>
      <c r="N12" s="51" t="s">
        <v>141</v>
      </c>
      <c r="O12" s="52" t="s">
        <v>142</v>
      </c>
      <c r="P12" s="53" t="s">
        <v>143</v>
      </c>
    </row>
    <row r="13" spans="1:16" ht="12.75" customHeight="1" thickBot="1" x14ac:dyDescent="0.25">
      <c r="A13" s="15" t="str">
        <f t="shared" si="0"/>
        <v>IBVS 4739 </v>
      </c>
      <c r="B13" s="5" t="str">
        <f t="shared" si="1"/>
        <v>I</v>
      </c>
      <c r="C13" s="15">
        <f t="shared" si="2"/>
        <v>43478.726999999999</v>
      </c>
      <c r="D13" s="21" t="str">
        <f t="shared" si="3"/>
        <v>vis</v>
      </c>
      <c r="E13" s="49">
        <f>VLOOKUP(C13,Active!C$21:E$973,3,FALSE)</f>
        <v>22993.078808729759</v>
      </c>
      <c r="F13" s="5" t="s">
        <v>62</v>
      </c>
      <c r="G13" s="21" t="str">
        <f t="shared" si="4"/>
        <v>43478.727</v>
      </c>
      <c r="H13" s="15">
        <f t="shared" si="5"/>
        <v>22993</v>
      </c>
      <c r="I13" s="50" t="s">
        <v>144</v>
      </c>
      <c r="J13" s="51" t="s">
        <v>145</v>
      </c>
      <c r="K13" s="50">
        <v>22993</v>
      </c>
      <c r="L13" s="50" t="s">
        <v>146</v>
      </c>
      <c r="M13" s="51" t="s">
        <v>140</v>
      </c>
      <c r="N13" s="51" t="s">
        <v>141</v>
      </c>
      <c r="O13" s="52" t="s">
        <v>142</v>
      </c>
      <c r="P13" s="53" t="s">
        <v>143</v>
      </c>
    </row>
    <row r="14" spans="1:16" ht="12.75" customHeight="1" thickBot="1" x14ac:dyDescent="0.25">
      <c r="A14" s="15" t="str">
        <f t="shared" si="0"/>
        <v>IBVS 5603 </v>
      </c>
      <c r="B14" s="5" t="str">
        <f t="shared" si="1"/>
        <v>I</v>
      </c>
      <c r="C14" s="15">
        <f t="shared" si="2"/>
        <v>53352.758800000003</v>
      </c>
      <c r="D14" s="21" t="str">
        <f t="shared" si="3"/>
        <v>vis</v>
      </c>
      <c r="E14" s="49">
        <f>VLOOKUP(C14,Active!C$21:E$973,3,FALSE)</f>
        <v>32220.242166935423</v>
      </c>
      <c r="F14" s="5" t="s">
        <v>62</v>
      </c>
      <c r="G14" s="21" t="str">
        <f t="shared" si="4"/>
        <v>53352.7588</v>
      </c>
      <c r="H14" s="15">
        <f t="shared" si="5"/>
        <v>32220</v>
      </c>
      <c r="I14" s="50" t="s">
        <v>152</v>
      </c>
      <c r="J14" s="51" t="s">
        <v>153</v>
      </c>
      <c r="K14" s="50">
        <v>32220</v>
      </c>
      <c r="L14" s="50" t="s">
        <v>154</v>
      </c>
      <c r="M14" s="51" t="s">
        <v>140</v>
      </c>
      <c r="N14" s="51" t="s">
        <v>141</v>
      </c>
      <c r="O14" s="52" t="s">
        <v>155</v>
      </c>
      <c r="P14" s="53" t="s">
        <v>156</v>
      </c>
    </row>
    <row r="15" spans="1:16" ht="12.75" customHeight="1" thickBot="1" x14ac:dyDescent="0.25">
      <c r="A15" s="15" t="str">
        <f t="shared" si="0"/>
        <v>IBVS 5843 </v>
      </c>
      <c r="B15" s="5" t="str">
        <f t="shared" si="1"/>
        <v>I</v>
      </c>
      <c r="C15" s="15">
        <f t="shared" si="2"/>
        <v>54054.764300000003</v>
      </c>
      <c r="D15" s="21" t="str">
        <f t="shared" si="3"/>
        <v>vis</v>
      </c>
      <c r="E15" s="49">
        <f>VLOOKUP(C15,Active!C$21:E$973,3,FALSE)</f>
        <v>32876.257820729334</v>
      </c>
      <c r="F15" s="5" t="s">
        <v>62</v>
      </c>
      <c r="G15" s="21" t="str">
        <f t="shared" si="4"/>
        <v>54054.7643</v>
      </c>
      <c r="H15" s="15">
        <f t="shared" si="5"/>
        <v>32876</v>
      </c>
      <c r="I15" s="50" t="s">
        <v>157</v>
      </c>
      <c r="J15" s="51" t="s">
        <v>158</v>
      </c>
      <c r="K15" s="50">
        <v>32876</v>
      </c>
      <c r="L15" s="50" t="s">
        <v>159</v>
      </c>
      <c r="M15" s="51" t="s">
        <v>160</v>
      </c>
      <c r="N15" s="51" t="s">
        <v>161</v>
      </c>
      <c r="O15" s="52" t="s">
        <v>162</v>
      </c>
      <c r="P15" s="53" t="s">
        <v>163</v>
      </c>
    </row>
    <row r="16" spans="1:16" ht="12.75" customHeight="1" thickBot="1" x14ac:dyDescent="0.25">
      <c r="A16" s="15" t="str">
        <f t="shared" si="0"/>
        <v>IBVS 5843 </v>
      </c>
      <c r="B16" s="5" t="str">
        <f t="shared" si="1"/>
        <v>I</v>
      </c>
      <c r="C16" s="15">
        <f t="shared" si="2"/>
        <v>54069.746200000001</v>
      </c>
      <c r="D16" s="21" t="str">
        <f t="shared" si="3"/>
        <v>vis</v>
      </c>
      <c r="E16" s="49">
        <f>VLOOKUP(C16,Active!C$21:E$973,3,FALSE)</f>
        <v>32890.258225175698</v>
      </c>
      <c r="F16" s="5" t="s">
        <v>62</v>
      </c>
      <c r="G16" s="21" t="str">
        <f t="shared" si="4"/>
        <v>54069.7462</v>
      </c>
      <c r="H16" s="15">
        <f t="shared" si="5"/>
        <v>32890</v>
      </c>
      <c r="I16" s="50" t="s">
        <v>164</v>
      </c>
      <c r="J16" s="51" t="s">
        <v>165</v>
      </c>
      <c r="K16" s="50" t="s">
        <v>166</v>
      </c>
      <c r="L16" s="50" t="s">
        <v>167</v>
      </c>
      <c r="M16" s="51" t="s">
        <v>160</v>
      </c>
      <c r="N16" s="51" t="s">
        <v>161</v>
      </c>
      <c r="O16" s="52" t="s">
        <v>162</v>
      </c>
      <c r="P16" s="53" t="s">
        <v>163</v>
      </c>
    </row>
    <row r="17" spans="1:16" ht="12.75" customHeight="1" thickBot="1" x14ac:dyDescent="0.25">
      <c r="A17" s="15" t="str">
        <f t="shared" si="0"/>
        <v> HB 842.2 </v>
      </c>
      <c r="B17" s="5" t="str">
        <f t="shared" si="1"/>
        <v>I</v>
      </c>
      <c r="C17" s="15">
        <f t="shared" si="2"/>
        <v>14277.629000000001</v>
      </c>
      <c r="D17" s="21" t="str">
        <f t="shared" si="3"/>
        <v>vis</v>
      </c>
      <c r="E17" s="49">
        <f>VLOOKUP(C17,Active!C$21:E$973,3,FALSE)</f>
        <v>-4294.9942846719323</v>
      </c>
      <c r="F17" s="5" t="s">
        <v>62</v>
      </c>
      <c r="G17" s="21" t="str">
        <f t="shared" si="4"/>
        <v>14277.629</v>
      </c>
      <c r="H17" s="15">
        <f t="shared" si="5"/>
        <v>-4295</v>
      </c>
      <c r="I17" s="50" t="s">
        <v>65</v>
      </c>
      <c r="J17" s="51" t="s">
        <v>66</v>
      </c>
      <c r="K17" s="50">
        <v>-4295</v>
      </c>
      <c r="L17" s="50" t="s">
        <v>67</v>
      </c>
      <c r="M17" s="51" t="s">
        <v>68</v>
      </c>
      <c r="N17" s="51"/>
      <c r="O17" s="52" t="s">
        <v>69</v>
      </c>
      <c r="P17" s="52" t="s">
        <v>70</v>
      </c>
    </row>
    <row r="18" spans="1:16" ht="12.75" customHeight="1" thickBot="1" x14ac:dyDescent="0.25">
      <c r="A18" s="15" t="str">
        <f t="shared" si="0"/>
        <v> HB 842.2 </v>
      </c>
      <c r="B18" s="5" t="str">
        <f t="shared" si="1"/>
        <v>I</v>
      </c>
      <c r="C18" s="15">
        <f t="shared" si="2"/>
        <v>14981.777</v>
      </c>
      <c r="D18" s="21" t="str">
        <f t="shared" si="3"/>
        <v>vis</v>
      </c>
      <c r="E18" s="49">
        <f>VLOOKUP(C18,Active!C$21:E$973,3,FALSE)</f>
        <v>-3636.9764905269108</v>
      </c>
      <c r="F18" s="5" t="s">
        <v>62</v>
      </c>
      <c r="G18" s="21" t="str">
        <f t="shared" si="4"/>
        <v>14981.777</v>
      </c>
      <c r="H18" s="15">
        <f t="shared" si="5"/>
        <v>-3637</v>
      </c>
      <c r="I18" s="50" t="s">
        <v>71</v>
      </c>
      <c r="J18" s="51" t="s">
        <v>72</v>
      </c>
      <c r="K18" s="50">
        <v>-3637</v>
      </c>
      <c r="L18" s="50" t="s">
        <v>73</v>
      </c>
      <c r="M18" s="51" t="s">
        <v>68</v>
      </c>
      <c r="N18" s="51"/>
      <c r="O18" s="52" t="s">
        <v>69</v>
      </c>
      <c r="P18" s="52" t="s">
        <v>70</v>
      </c>
    </row>
    <row r="19" spans="1:16" ht="12.75" customHeight="1" thickBot="1" x14ac:dyDescent="0.25">
      <c r="A19" s="15" t="str">
        <f t="shared" si="0"/>
        <v> HB 842.2 </v>
      </c>
      <c r="B19" s="5" t="str">
        <f t="shared" si="1"/>
        <v>I</v>
      </c>
      <c r="C19" s="15">
        <f t="shared" si="2"/>
        <v>15481.504999999999</v>
      </c>
      <c r="D19" s="21" t="str">
        <f t="shared" si="3"/>
        <v>vis</v>
      </c>
      <c r="E19" s="49">
        <f>VLOOKUP(C19,Active!C$21:E$973,3,FALSE)</f>
        <v>-3169.9867153198479</v>
      </c>
      <c r="F19" s="5" t="s">
        <v>62</v>
      </c>
      <c r="G19" s="21" t="str">
        <f t="shared" si="4"/>
        <v>15481.505</v>
      </c>
      <c r="H19" s="15">
        <f t="shared" si="5"/>
        <v>-3170</v>
      </c>
      <c r="I19" s="50" t="s">
        <v>74</v>
      </c>
      <c r="J19" s="51" t="s">
        <v>75</v>
      </c>
      <c r="K19" s="50">
        <v>-3170</v>
      </c>
      <c r="L19" s="50" t="s">
        <v>76</v>
      </c>
      <c r="M19" s="51" t="s">
        <v>68</v>
      </c>
      <c r="N19" s="51"/>
      <c r="O19" s="52" t="s">
        <v>69</v>
      </c>
      <c r="P19" s="52" t="s">
        <v>70</v>
      </c>
    </row>
    <row r="20" spans="1:16" ht="12.75" customHeight="1" thickBot="1" x14ac:dyDescent="0.25">
      <c r="A20" s="15" t="str">
        <f t="shared" si="0"/>
        <v> HB 842.2 </v>
      </c>
      <c r="B20" s="5" t="str">
        <f t="shared" si="1"/>
        <v>I</v>
      </c>
      <c r="C20" s="15">
        <f t="shared" si="2"/>
        <v>16079.755999999999</v>
      </c>
      <c r="D20" s="21" t="str">
        <f t="shared" si="3"/>
        <v>vis</v>
      </c>
      <c r="E20" s="49">
        <f>VLOOKUP(C20,Active!C$21:E$973,3,FALSE)</f>
        <v>-2610.9283875747519</v>
      </c>
      <c r="F20" s="5" t="s">
        <v>62</v>
      </c>
      <c r="G20" s="21" t="str">
        <f t="shared" si="4"/>
        <v>16079.756</v>
      </c>
      <c r="H20" s="15">
        <f t="shared" si="5"/>
        <v>-2611</v>
      </c>
      <c r="I20" s="50" t="s">
        <v>77</v>
      </c>
      <c r="J20" s="51" t="s">
        <v>78</v>
      </c>
      <c r="K20" s="50">
        <v>-2611</v>
      </c>
      <c r="L20" s="50" t="s">
        <v>79</v>
      </c>
      <c r="M20" s="51" t="s">
        <v>68</v>
      </c>
      <c r="N20" s="51"/>
      <c r="O20" s="52" t="s">
        <v>69</v>
      </c>
      <c r="P20" s="52" t="s">
        <v>70</v>
      </c>
    </row>
    <row r="21" spans="1:16" ht="12.75" customHeight="1" thickBot="1" x14ac:dyDescent="0.25">
      <c r="A21" s="15" t="str">
        <f t="shared" si="0"/>
        <v> HB 842.2 </v>
      </c>
      <c r="B21" s="5" t="str">
        <f t="shared" si="1"/>
        <v>I</v>
      </c>
      <c r="C21" s="15">
        <f t="shared" si="2"/>
        <v>16476.710999999999</v>
      </c>
      <c r="D21" s="21" t="str">
        <f t="shared" si="3"/>
        <v>vis</v>
      </c>
      <c r="E21" s="49">
        <f>VLOOKUP(C21,Active!C$21:E$973,3,FALSE)</f>
        <v>-2239.9787385310324</v>
      </c>
      <c r="F21" s="5" t="s">
        <v>62</v>
      </c>
      <c r="G21" s="21" t="str">
        <f t="shared" si="4"/>
        <v>16476.711</v>
      </c>
      <c r="H21" s="15">
        <f t="shared" si="5"/>
        <v>-2240</v>
      </c>
      <c r="I21" s="50" t="s">
        <v>80</v>
      </c>
      <c r="J21" s="51" t="s">
        <v>81</v>
      </c>
      <c r="K21" s="50">
        <v>-2240</v>
      </c>
      <c r="L21" s="50" t="s">
        <v>82</v>
      </c>
      <c r="M21" s="51" t="s">
        <v>68</v>
      </c>
      <c r="N21" s="51"/>
      <c r="O21" s="52" t="s">
        <v>69</v>
      </c>
      <c r="P21" s="52" t="s">
        <v>70</v>
      </c>
    </row>
    <row r="22" spans="1:16" ht="12.75" customHeight="1" thickBot="1" x14ac:dyDescent="0.25">
      <c r="A22" s="15" t="str">
        <f t="shared" si="0"/>
        <v> HB 842.2 </v>
      </c>
      <c r="B22" s="5" t="str">
        <f t="shared" si="1"/>
        <v>I</v>
      </c>
      <c r="C22" s="15">
        <f t="shared" si="2"/>
        <v>16521.632000000001</v>
      </c>
      <c r="D22" s="21" t="str">
        <f t="shared" si="3"/>
        <v>vis</v>
      </c>
      <c r="E22" s="49">
        <f>VLOOKUP(C22,Active!C$21:E$973,3,FALSE)</f>
        <v>-2198.0006070433478</v>
      </c>
      <c r="F22" s="5" t="s">
        <v>62</v>
      </c>
      <c r="G22" s="21" t="str">
        <f t="shared" si="4"/>
        <v>16521.632</v>
      </c>
      <c r="H22" s="15">
        <f t="shared" si="5"/>
        <v>-2198</v>
      </c>
      <c r="I22" s="50" t="s">
        <v>83</v>
      </c>
      <c r="J22" s="51" t="s">
        <v>84</v>
      </c>
      <c r="K22" s="50">
        <v>-2198</v>
      </c>
      <c r="L22" s="50" t="s">
        <v>85</v>
      </c>
      <c r="M22" s="51" t="s">
        <v>68</v>
      </c>
      <c r="N22" s="51"/>
      <c r="O22" s="52" t="s">
        <v>69</v>
      </c>
      <c r="P22" s="52" t="s">
        <v>70</v>
      </c>
    </row>
    <row r="23" spans="1:16" ht="12.75" customHeight="1" thickBot="1" x14ac:dyDescent="0.25">
      <c r="A23" s="15" t="str">
        <f t="shared" si="0"/>
        <v> HB 842.2 </v>
      </c>
      <c r="B23" s="5" t="str">
        <f t="shared" si="1"/>
        <v>I</v>
      </c>
      <c r="C23" s="15">
        <f t="shared" si="2"/>
        <v>17135.886999999999</v>
      </c>
      <c r="D23" s="21" t="str">
        <f t="shared" si="3"/>
        <v>vis</v>
      </c>
      <c r="E23" s="49">
        <f>VLOOKUP(C23,Active!C$21:E$973,3,FALSE)</f>
        <v>-1623.9867347571967</v>
      </c>
      <c r="F23" s="5" t="s">
        <v>62</v>
      </c>
      <c r="G23" s="21" t="str">
        <f t="shared" si="4"/>
        <v>17135.887</v>
      </c>
      <c r="H23" s="15">
        <f t="shared" si="5"/>
        <v>-1624</v>
      </c>
      <c r="I23" s="50" t="s">
        <v>86</v>
      </c>
      <c r="J23" s="51" t="s">
        <v>87</v>
      </c>
      <c r="K23" s="50">
        <v>-1624</v>
      </c>
      <c r="L23" s="50" t="s">
        <v>76</v>
      </c>
      <c r="M23" s="51" t="s">
        <v>68</v>
      </c>
      <c r="N23" s="51"/>
      <c r="O23" s="52" t="s">
        <v>69</v>
      </c>
      <c r="P23" s="52" t="s">
        <v>70</v>
      </c>
    </row>
    <row r="24" spans="1:16" ht="12.75" customHeight="1" thickBot="1" x14ac:dyDescent="0.25">
      <c r="A24" s="15" t="str">
        <f t="shared" si="0"/>
        <v> HB 842.2 </v>
      </c>
      <c r="B24" s="5" t="str">
        <f t="shared" si="1"/>
        <v>I</v>
      </c>
      <c r="C24" s="15">
        <f t="shared" si="2"/>
        <v>18278.73</v>
      </c>
      <c r="D24" s="21" t="str">
        <f t="shared" si="3"/>
        <v>vis</v>
      </c>
      <c r="E24" s="49">
        <f>VLOOKUP(C24,Active!C$21:E$973,3,FALSE)</f>
        <v>-556.01376612832894</v>
      </c>
      <c r="F24" s="5" t="s">
        <v>62</v>
      </c>
      <c r="G24" s="21" t="str">
        <f t="shared" si="4"/>
        <v>18278.730</v>
      </c>
      <c r="H24" s="15">
        <f t="shared" si="5"/>
        <v>-556</v>
      </c>
      <c r="I24" s="50" t="s">
        <v>88</v>
      </c>
      <c r="J24" s="51" t="s">
        <v>89</v>
      </c>
      <c r="K24" s="50">
        <v>-556</v>
      </c>
      <c r="L24" s="50" t="s">
        <v>90</v>
      </c>
      <c r="M24" s="51" t="s">
        <v>68</v>
      </c>
      <c r="N24" s="51"/>
      <c r="O24" s="52" t="s">
        <v>69</v>
      </c>
      <c r="P24" s="52" t="s">
        <v>70</v>
      </c>
    </row>
    <row r="25" spans="1:16" ht="12.75" customHeight="1" thickBot="1" x14ac:dyDescent="0.25">
      <c r="A25" s="15" t="str">
        <f t="shared" si="0"/>
        <v> HB 842.2 </v>
      </c>
      <c r="B25" s="5" t="str">
        <f t="shared" si="1"/>
        <v>I</v>
      </c>
      <c r="C25" s="15">
        <f t="shared" si="2"/>
        <v>18630.782999999999</v>
      </c>
      <c r="D25" s="21" t="str">
        <f t="shared" si="3"/>
        <v>vis</v>
      </c>
      <c r="E25" s="49">
        <f>VLOOKUP(C25,Active!C$21:E$973,3,FALSE)</f>
        <v>-227.02449330196663</v>
      </c>
      <c r="F25" s="5" t="s">
        <v>62</v>
      </c>
      <c r="G25" s="21" t="str">
        <f t="shared" si="4"/>
        <v>18630.783</v>
      </c>
      <c r="H25" s="15">
        <f t="shared" si="5"/>
        <v>-227</v>
      </c>
      <c r="I25" s="50" t="s">
        <v>91</v>
      </c>
      <c r="J25" s="51" t="s">
        <v>92</v>
      </c>
      <c r="K25" s="50">
        <v>-227</v>
      </c>
      <c r="L25" s="50" t="s">
        <v>93</v>
      </c>
      <c r="M25" s="51" t="s">
        <v>68</v>
      </c>
      <c r="N25" s="51"/>
      <c r="O25" s="52" t="s">
        <v>69</v>
      </c>
      <c r="P25" s="52" t="s">
        <v>70</v>
      </c>
    </row>
    <row r="26" spans="1:16" ht="12.75" customHeight="1" thickBot="1" x14ac:dyDescent="0.25">
      <c r="A26" s="15" t="str">
        <f t="shared" si="0"/>
        <v> HB 842.2 </v>
      </c>
      <c r="B26" s="5" t="str">
        <f t="shared" si="1"/>
        <v>I</v>
      </c>
      <c r="C26" s="15">
        <f t="shared" si="2"/>
        <v>19451.588</v>
      </c>
      <c r="D26" s="21" t="str">
        <f t="shared" si="3"/>
        <v>vis</v>
      </c>
      <c r="E26" s="49">
        <f>VLOOKUP(C26,Active!C$21:E$973,3,FALSE)</f>
        <v>540.00785717436088</v>
      </c>
      <c r="F26" s="5" t="s">
        <v>62</v>
      </c>
      <c r="G26" s="21" t="str">
        <f t="shared" si="4"/>
        <v>19451.588</v>
      </c>
      <c r="H26" s="15">
        <f t="shared" si="5"/>
        <v>540</v>
      </c>
      <c r="I26" s="50" t="s">
        <v>94</v>
      </c>
      <c r="J26" s="51" t="s">
        <v>95</v>
      </c>
      <c r="K26" s="50">
        <v>540</v>
      </c>
      <c r="L26" s="50" t="s">
        <v>96</v>
      </c>
      <c r="M26" s="51" t="s">
        <v>68</v>
      </c>
      <c r="N26" s="51"/>
      <c r="O26" s="52" t="s">
        <v>69</v>
      </c>
      <c r="P26" s="52" t="s">
        <v>70</v>
      </c>
    </row>
    <row r="27" spans="1:16" ht="12.75" customHeight="1" thickBot="1" x14ac:dyDescent="0.25">
      <c r="A27" s="15" t="str">
        <f t="shared" si="0"/>
        <v> HB 842.2 </v>
      </c>
      <c r="B27" s="5" t="str">
        <f t="shared" si="1"/>
        <v>I</v>
      </c>
      <c r="C27" s="15">
        <f t="shared" si="2"/>
        <v>20020.891</v>
      </c>
      <c r="D27" s="21" t="str">
        <f t="shared" si="3"/>
        <v>vis</v>
      </c>
      <c r="E27" s="49">
        <f>VLOOKUP(C27,Active!C$21:E$973,3,FALSE)</f>
        <v>1072.0146288475651</v>
      </c>
      <c r="F27" s="5" t="s">
        <v>62</v>
      </c>
      <c r="G27" s="21" t="str">
        <f t="shared" si="4"/>
        <v>20020.891</v>
      </c>
      <c r="H27" s="15">
        <f t="shared" si="5"/>
        <v>1072</v>
      </c>
      <c r="I27" s="50" t="s">
        <v>97</v>
      </c>
      <c r="J27" s="51" t="s">
        <v>98</v>
      </c>
      <c r="K27" s="50">
        <v>1072</v>
      </c>
      <c r="L27" s="50" t="s">
        <v>99</v>
      </c>
      <c r="M27" s="51" t="s">
        <v>68</v>
      </c>
      <c r="N27" s="51"/>
      <c r="O27" s="52" t="s">
        <v>69</v>
      </c>
      <c r="P27" s="52" t="s">
        <v>70</v>
      </c>
    </row>
    <row r="28" spans="1:16" ht="12.75" customHeight="1" thickBot="1" x14ac:dyDescent="0.25">
      <c r="A28" s="15" t="str">
        <f t="shared" si="0"/>
        <v> HB 842.2 </v>
      </c>
      <c r="B28" s="5" t="str">
        <f t="shared" si="1"/>
        <v>I</v>
      </c>
      <c r="C28" s="15">
        <f t="shared" si="2"/>
        <v>21224.720000000001</v>
      </c>
      <c r="D28" s="21" t="str">
        <f t="shared" si="3"/>
        <v>vis</v>
      </c>
      <c r="E28" s="49">
        <f>VLOOKUP(C28,Active!C$21:E$973,3,FALSE)</f>
        <v>2196.9782772677959</v>
      </c>
      <c r="F28" s="5" t="s">
        <v>62</v>
      </c>
      <c r="G28" s="21" t="str">
        <f t="shared" si="4"/>
        <v>21224.720</v>
      </c>
      <c r="H28" s="15">
        <f t="shared" si="5"/>
        <v>2197</v>
      </c>
      <c r="I28" s="50" t="s">
        <v>100</v>
      </c>
      <c r="J28" s="51" t="s">
        <v>101</v>
      </c>
      <c r="K28" s="50">
        <v>2197</v>
      </c>
      <c r="L28" s="50" t="s">
        <v>102</v>
      </c>
      <c r="M28" s="51" t="s">
        <v>68</v>
      </c>
      <c r="N28" s="51"/>
      <c r="O28" s="52" t="s">
        <v>69</v>
      </c>
      <c r="P28" s="52" t="s">
        <v>70</v>
      </c>
    </row>
    <row r="29" spans="1:16" ht="12.75" customHeight="1" thickBot="1" x14ac:dyDescent="0.25">
      <c r="A29" s="15" t="str">
        <f t="shared" si="0"/>
        <v> HB 842.2 </v>
      </c>
      <c r="B29" s="5" t="str">
        <f t="shared" si="1"/>
        <v>I</v>
      </c>
      <c r="C29" s="15">
        <f t="shared" si="2"/>
        <v>21268.577000000001</v>
      </c>
      <c r="D29" s="21" t="str">
        <f t="shared" si="3"/>
        <v>vis</v>
      </c>
      <c r="E29" s="49">
        <f>VLOOKUP(C29,Active!C$21:E$973,3,FALSE)</f>
        <v>2237.9621136172827</v>
      </c>
      <c r="F29" s="5" t="s">
        <v>62</v>
      </c>
      <c r="G29" s="21" t="str">
        <f t="shared" si="4"/>
        <v>21268.577</v>
      </c>
      <c r="H29" s="15">
        <f t="shared" si="5"/>
        <v>2238</v>
      </c>
      <c r="I29" s="50" t="s">
        <v>103</v>
      </c>
      <c r="J29" s="51" t="s">
        <v>104</v>
      </c>
      <c r="K29" s="50">
        <v>2238</v>
      </c>
      <c r="L29" s="50" t="s">
        <v>105</v>
      </c>
      <c r="M29" s="51" t="s">
        <v>68</v>
      </c>
      <c r="N29" s="51"/>
      <c r="O29" s="52" t="s">
        <v>69</v>
      </c>
      <c r="P29" s="52" t="s">
        <v>70</v>
      </c>
    </row>
    <row r="30" spans="1:16" ht="12.75" customHeight="1" thickBot="1" x14ac:dyDescent="0.25">
      <c r="A30" s="15" t="str">
        <f t="shared" si="0"/>
        <v> HB 842.2 </v>
      </c>
      <c r="B30" s="5" t="str">
        <f t="shared" si="1"/>
        <v>I</v>
      </c>
      <c r="C30" s="15">
        <f t="shared" si="2"/>
        <v>21957.743999999999</v>
      </c>
      <c r="D30" s="21" t="str">
        <f t="shared" si="3"/>
        <v>vis</v>
      </c>
      <c r="E30" s="49">
        <f>VLOOKUP(C30,Active!C$21:E$973,3,FALSE)</f>
        <v>2881.980344355055</v>
      </c>
      <c r="F30" s="5" t="s">
        <v>62</v>
      </c>
      <c r="G30" s="21" t="str">
        <f t="shared" si="4"/>
        <v>21957.744</v>
      </c>
      <c r="H30" s="15">
        <f t="shared" si="5"/>
        <v>2882</v>
      </c>
      <c r="I30" s="50" t="s">
        <v>106</v>
      </c>
      <c r="J30" s="51" t="s">
        <v>107</v>
      </c>
      <c r="K30" s="50">
        <v>2882</v>
      </c>
      <c r="L30" s="50" t="s">
        <v>108</v>
      </c>
      <c r="M30" s="51" t="s">
        <v>68</v>
      </c>
      <c r="N30" s="51"/>
      <c r="O30" s="52" t="s">
        <v>69</v>
      </c>
      <c r="P30" s="52" t="s">
        <v>70</v>
      </c>
    </row>
    <row r="31" spans="1:16" ht="12.75" customHeight="1" thickBot="1" x14ac:dyDescent="0.25">
      <c r="A31" s="15" t="str">
        <f t="shared" si="0"/>
        <v> HB 842.2 </v>
      </c>
      <c r="B31" s="5" t="str">
        <f t="shared" si="1"/>
        <v>I</v>
      </c>
      <c r="C31" s="15">
        <f t="shared" si="2"/>
        <v>24168.616999999998</v>
      </c>
      <c r="D31" s="21" t="str">
        <f t="shared" si="3"/>
        <v>vis</v>
      </c>
      <c r="E31" s="49">
        <f>VLOOKUP(C31,Active!C$21:E$973,3,FALSE)</f>
        <v>4948.0144374644397</v>
      </c>
      <c r="F31" s="5" t="s">
        <v>62</v>
      </c>
      <c r="G31" s="21" t="str">
        <f t="shared" si="4"/>
        <v>24168.617</v>
      </c>
      <c r="H31" s="15">
        <f t="shared" si="5"/>
        <v>4948</v>
      </c>
      <c r="I31" s="50" t="s">
        <v>109</v>
      </c>
      <c r="J31" s="51" t="s">
        <v>110</v>
      </c>
      <c r="K31" s="50">
        <v>4948</v>
      </c>
      <c r="L31" s="50" t="s">
        <v>111</v>
      </c>
      <c r="M31" s="51" t="s">
        <v>68</v>
      </c>
      <c r="N31" s="51"/>
      <c r="O31" s="52" t="s">
        <v>69</v>
      </c>
      <c r="P31" s="52" t="s">
        <v>70</v>
      </c>
    </row>
    <row r="32" spans="1:16" ht="12.75" customHeight="1" thickBot="1" x14ac:dyDescent="0.25">
      <c r="A32" s="15" t="str">
        <f t="shared" si="0"/>
        <v> HB 842.2 </v>
      </c>
      <c r="B32" s="5" t="str">
        <f t="shared" si="1"/>
        <v>I</v>
      </c>
      <c r="C32" s="15">
        <f t="shared" si="2"/>
        <v>24549.561000000002</v>
      </c>
      <c r="D32" s="21" t="str">
        <f t="shared" si="3"/>
        <v>vis</v>
      </c>
      <c r="E32" s="49">
        <f>VLOOKUP(C32,Active!C$21:E$973,3,FALSE)</f>
        <v>5304.0020005517217</v>
      </c>
      <c r="F32" s="5" t="s">
        <v>62</v>
      </c>
      <c r="G32" s="21" t="str">
        <f t="shared" si="4"/>
        <v>24549.561</v>
      </c>
      <c r="H32" s="15">
        <f t="shared" si="5"/>
        <v>5304</v>
      </c>
      <c r="I32" s="50" t="s">
        <v>112</v>
      </c>
      <c r="J32" s="51" t="s">
        <v>113</v>
      </c>
      <c r="K32" s="50">
        <v>5304</v>
      </c>
      <c r="L32" s="50" t="s">
        <v>114</v>
      </c>
      <c r="M32" s="51" t="s">
        <v>68</v>
      </c>
      <c r="N32" s="51"/>
      <c r="O32" s="52" t="s">
        <v>69</v>
      </c>
      <c r="P32" s="52" t="s">
        <v>70</v>
      </c>
    </row>
    <row r="33" spans="1:16" ht="12.75" customHeight="1" thickBot="1" x14ac:dyDescent="0.25">
      <c r="A33" s="15" t="str">
        <f t="shared" si="0"/>
        <v> HA 113.74 </v>
      </c>
      <c r="B33" s="5" t="str">
        <f t="shared" si="1"/>
        <v>I</v>
      </c>
      <c r="C33" s="15">
        <f t="shared" si="2"/>
        <v>26093.687999999998</v>
      </c>
      <c r="D33" s="21" t="str">
        <f t="shared" si="3"/>
        <v>vis</v>
      </c>
      <c r="E33" s="49">
        <f>VLOOKUP(C33,Active!C$21:E$973,3,FALSE)</f>
        <v>6746.9700163946527</v>
      </c>
      <c r="F33" s="5" t="s">
        <v>62</v>
      </c>
      <c r="G33" s="21" t="str">
        <f t="shared" si="4"/>
        <v>26093.688</v>
      </c>
      <c r="H33" s="15">
        <f t="shared" si="5"/>
        <v>6747</v>
      </c>
      <c r="I33" s="50" t="s">
        <v>115</v>
      </c>
      <c r="J33" s="51" t="s">
        <v>116</v>
      </c>
      <c r="K33" s="50">
        <v>6747</v>
      </c>
      <c r="L33" s="50" t="s">
        <v>117</v>
      </c>
      <c r="M33" s="51" t="s">
        <v>64</v>
      </c>
      <c r="N33" s="51"/>
      <c r="O33" s="52" t="s">
        <v>118</v>
      </c>
      <c r="P33" s="52" t="s">
        <v>119</v>
      </c>
    </row>
    <row r="34" spans="1:16" ht="12.75" customHeight="1" thickBot="1" x14ac:dyDescent="0.25">
      <c r="A34" s="15" t="str">
        <f t="shared" si="0"/>
        <v> IODE 4.2.183 </v>
      </c>
      <c r="B34" s="5" t="str">
        <f t="shared" si="1"/>
        <v>I</v>
      </c>
      <c r="C34" s="15">
        <f t="shared" si="2"/>
        <v>27386.435000000001</v>
      </c>
      <c r="D34" s="21" t="str">
        <f t="shared" si="3"/>
        <v>vis</v>
      </c>
      <c r="E34" s="49">
        <f>VLOOKUP(C34,Active!C$21:E$973,3,FALSE)</f>
        <v>7955.0264609597116</v>
      </c>
      <c r="F34" s="5" t="s">
        <v>62</v>
      </c>
      <c r="G34" s="21" t="str">
        <f t="shared" si="4"/>
        <v>27386.435</v>
      </c>
      <c r="H34" s="15">
        <f t="shared" si="5"/>
        <v>7955</v>
      </c>
      <c r="I34" s="50" t="s">
        <v>120</v>
      </c>
      <c r="J34" s="51" t="s">
        <v>121</v>
      </c>
      <c r="K34" s="50">
        <v>7955</v>
      </c>
      <c r="L34" s="50" t="s">
        <v>122</v>
      </c>
      <c r="M34" s="51" t="s">
        <v>123</v>
      </c>
      <c r="N34" s="51"/>
      <c r="O34" s="52" t="s">
        <v>124</v>
      </c>
      <c r="P34" s="52" t="s">
        <v>125</v>
      </c>
    </row>
    <row r="35" spans="1:16" ht="12.75" customHeight="1" thickBot="1" x14ac:dyDescent="0.25">
      <c r="A35" s="15" t="str">
        <f t="shared" si="0"/>
        <v> IODE 4.2.183 </v>
      </c>
      <c r="B35" s="5" t="str">
        <f t="shared" si="1"/>
        <v>I</v>
      </c>
      <c r="C35" s="15">
        <f t="shared" si="2"/>
        <v>27460.22</v>
      </c>
      <c r="D35" s="21" t="str">
        <f t="shared" si="3"/>
        <v>vis</v>
      </c>
      <c r="E35" s="49">
        <f>VLOOKUP(C35,Active!C$21:E$973,3,FALSE)</f>
        <v>8023.9776515346903</v>
      </c>
      <c r="F35" s="5" t="s">
        <v>62</v>
      </c>
      <c r="G35" s="21" t="str">
        <f t="shared" si="4"/>
        <v>27460.22</v>
      </c>
      <c r="H35" s="15">
        <f t="shared" si="5"/>
        <v>8024</v>
      </c>
      <c r="I35" s="50" t="s">
        <v>126</v>
      </c>
      <c r="J35" s="51" t="s">
        <v>127</v>
      </c>
      <c r="K35" s="50">
        <v>8024</v>
      </c>
      <c r="L35" s="50" t="s">
        <v>128</v>
      </c>
      <c r="M35" s="51" t="s">
        <v>123</v>
      </c>
      <c r="N35" s="51"/>
      <c r="O35" s="52" t="s">
        <v>124</v>
      </c>
      <c r="P35" s="52" t="s">
        <v>125</v>
      </c>
    </row>
    <row r="36" spans="1:16" ht="12.75" customHeight="1" thickBot="1" x14ac:dyDescent="0.25">
      <c r="A36" s="15" t="str">
        <f t="shared" si="0"/>
        <v> IODE 4.2.183 </v>
      </c>
      <c r="B36" s="5" t="str">
        <f t="shared" si="1"/>
        <v>I</v>
      </c>
      <c r="C36" s="15">
        <f t="shared" si="2"/>
        <v>27461.308000000001</v>
      </c>
      <c r="D36" s="21" t="str">
        <f t="shared" si="3"/>
        <v>vis</v>
      </c>
      <c r="E36" s="49">
        <f>VLOOKUP(C36,Active!C$21:E$973,3,FALSE)</f>
        <v>8024.9943743827698</v>
      </c>
      <c r="F36" s="5" t="s">
        <v>62</v>
      </c>
      <c r="G36" s="21" t="str">
        <f t="shared" si="4"/>
        <v>27461.308</v>
      </c>
      <c r="H36" s="15">
        <f t="shared" si="5"/>
        <v>8025</v>
      </c>
      <c r="I36" s="50" t="s">
        <v>129</v>
      </c>
      <c r="J36" s="51" t="s">
        <v>130</v>
      </c>
      <c r="K36" s="50">
        <v>8025</v>
      </c>
      <c r="L36" s="50" t="s">
        <v>131</v>
      </c>
      <c r="M36" s="51" t="s">
        <v>123</v>
      </c>
      <c r="N36" s="51"/>
      <c r="O36" s="52" t="s">
        <v>124</v>
      </c>
      <c r="P36" s="52" t="s">
        <v>125</v>
      </c>
    </row>
    <row r="37" spans="1:16" ht="12.75" customHeight="1" thickBot="1" x14ac:dyDescent="0.25">
      <c r="A37" s="15" t="str">
        <f t="shared" si="0"/>
        <v>VSB 39 </v>
      </c>
      <c r="B37" s="5" t="str">
        <f t="shared" si="1"/>
        <v>I</v>
      </c>
      <c r="C37" s="15">
        <f t="shared" si="2"/>
        <v>52258.013700000003</v>
      </c>
      <c r="D37" s="21" t="str">
        <f t="shared" si="3"/>
        <v>vis</v>
      </c>
      <c r="E37" s="49">
        <f>VLOOKUP(C37,Active!C$21:E$973,3,FALSE)</f>
        <v>31197.216104441359</v>
      </c>
      <c r="F37" s="5" t="s">
        <v>62</v>
      </c>
      <c r="G37" s="21" t="str">
        <f t="shared" si="4"/>
        <v>52258.0137</v>
      </c>
      <c r="H37" s="15">
        <f t="shared" si="5"/>
        <v>31197</v>
      </c>
      <c r="I37" s="50" t="s">
        <v>147</v>
      </c>
      <c r="J37" s="51" t="s">
        <v>148</v>
      </c>
      <c r="K37" s="50">
        <v>31197</v>
      </c>
      <c r="L37" s="50" t="s">
        <v>149</v>
      </c>
      <c r="M37" s="51" t="s">
        <v>140</v>
      </c>
      <c r="N37" s="51" t="s">
        <v>141</v>
      </c>
      <c r="O37" s="52" t="s">
        <v>150</v>
      </c>
      <c r="P37" s="53" t="s">
        <v>151</v>
      </c>
    </row>
    <row r="38" spans="1:16" ht="12.75" customHeight="1" thickBot="1" x14ac:dyDescent="0.25">
      <c r="A38" s="15" t="str">
        <f t="shared" si="0"/>
        <v>VSB 51 </v>
      </c>
      <c r="B38" s="5" t="str">
        <f t="shared" si="1"/>
        <v>I</v>
      </c>
      <c r="C38" s="15">
        <f t="shared" si="2"/>
        <v>55203.02</v>
      </c>
      <c r="D38" s="21" t="str">
        <f t="shared" si="3"/>
        <v>vis</v>
      </c>
      <c r="E38" s="49">
        <f>VLOOKUP(C38,Active!C$21:E$973,3,FALSE)</f>
        <v>33949.288892078599</v>
      </c>
      <c r="F38" s="5" t="s">
        <v>62</v>
      </c>
      <c r="G38" s="21" t="str">
        <f t="shared" si="4"/>
        <v>55203.020</v>
      </c>
      <c r="H38" s="15">
        <f t="shared" si="5"/>
        <v>33949</v>
      </c>
      <c r="I38" s="50" t="s">
        <v>168</v>
      </c>
      <c r="J38" s="51" t="s">
        <v>169</v>
      </c>
      <c r="K38" s="50" t="s">
        <v>170</v>
      </c>
      <c r="L38" s="50" t="s">
        <v>171</v>
      </c>
      <c r="M38" s="51" t="s">
        <v>160</v>
      </c>
      <c r="N38" s="51" t="s">
        <v>172</v>
      </c>
      <c r="O38" s="52" t="s">
        <v>173</v>
      </c>
      <c r="P38" s="53" t="s">
        <v>174</v>
      </c>
    </row>
    <row r="39" spans="1:16" ht="12.75" customHeight="1" thickBot="1" x14ac:dyDescent="0.25">
      <c r="A39" s="15" t="str">
        <f t="shared" si="0"/>
        <v>VSB 51 </v>
      </c>
      <c r="B39" s="5" t="str">
        <f t="shared" si="1"/>
        <v>I</v>
      </c>
      <c r="C39" s="15">
        <f t="shared" si="2"/>
        <v>55555.0887</v>
      </c>
      <c r="D39" s="21" t="str">
        <f t="shared" si="3"/>
        <v>vis</v>
      </c>
      <c r="E39" s="49">
        <f>VLOOKUP(C39,Active!C$21:E$973,3,FALSE)</f>
        <v>34278.292836365181</v>
      </c>
      <c r="F39" s="5" t="s">
        <v>62</v>
      </c>
      <c r="G39" s="21" t="str">
        <f t="shared" si="4"/>
        <v>55555.0887</v>
      </c>
      <c r="H39" s="15">
        <f t="shared" si="5"/>
        <v>34278</v>
      </c>
      <c r="I39" s="50" t="s">
        <v>175</v>
      </c>
      <c r="J39" s="51" t="s">
        <v>176</v>
      </c>
      <c r="K39" s="50" t="s">
        <v>177</v>
      </c>
      <c r="L39" s="50" t="s">
        <v>178</v>
      </c>
      <c r="M39" s="51" t="s">
        <v>160</v>
      </c>
      <c r="N39" s="51" t="s">
        <v>172</v>
      </c>
      <c r="O39" s="52" t="s">
        <v>173</v>
      </c>
      <c r="P39" s="53" t="s">
        <v>174</v>
      </c>
    </row>
    <row r="40" spans="1:16" ht="12.75" customHeight="1" thickBot="1" x14ac:dyDescent="0.25">
      <c r="A40" s="15" t="str">
        <f t="shared" si="0"/>
        <v>VSB 53 </v>
      </c>
      <c r="B40" s="5" t="str">
        <f t="shared" si="1"/>
        <v>I</v>
      </c>
      <c r="C40" s="15">
        <f t="shared" si="2"/>
        <v>55583.984900000003</v>
      </c>
      <c r="D40" s="21" t="str">
        <f t="shared" si="3"/>
        <v>vis</v>
      </c>
      <c r="E40" s="49">
        <f>VLOOKUP(C40,Active!C$21:E$973,3,FALSE)</f>
        <v>34305.295985963246</v>
      </c>
      <c r="F40" s="5" t="s">
        <v>62</v>
      </c>
      <c r="G40" s="21" t="str">
        <f t="shared" si="4"/>
        <v>55583.9849</v>
      </c>
      <c r="H40" s="15">
        <f t="shared" si="5"/>
        <v>34305</v>
      </c>
      <c r="I40" s="50" t="s">
        <v>179</v>
      </c>
      <c r="J40" s="51" t="s">
        <v>180</v>
      </c>
      <c r="K40" s="50" t="s">
        <v>181</v>
      </c>
      <c r="L40" s="50" t="s">
        <v>182</v>
      </c>
      <c r="M40" s="51" t="s">
        <v>160</v>
      </c>
      <c r="N40" s="51" t="s">
        <v>172</v>
      </c>
      <c r="O40" s="52" t="s">
        <v>173</v>
      </c>
      <c r="P40" s="53" t="s">
        <v>183</v>
      </c>
    </row>
    <row r="41" spans="1:16" x14ac:dyDescent="0.2">
      <c r="B41" s="5"/>
      <c r="E41" s="49"/>
      <c r="F41" s="5"/>
    </row>
    <row r="42" spans="1:16" x14ac:dyDescent="0.2">
      <c r="B42" s="5"/>
      <c r="E42" s="49"/>
      <c r="F42" s="5"/>
    </row>
    <row r="43" spans="1:16" x14ac:dyDescent="0.2">
      <c r="B43" s="5"/>
      <c r="E43" s="49"/>
      <c r="F43" s="5"/>
    </row>
    <row r="44" spans="1:16" x14ac:dyDescent="0.2">
      <c r="B44" s="5"/>
      <c r="E44" s="49"/>
      <c r="F44" s="5"/>
    </row>
    <row r="45" spans="1:16" x14ac:dyDescent="0.2">
      <c r="B45" s="5"/>
      <c r="E45" s="49"/>
      <c r="F45" s="5"/>
    </row>
    <row r="46" spans="1:16" x14ac:dyDescent="0.2">
      <c r="B46" s="5"/>
      <c r="E46" s="49"/>
      <c r="F46" s="5"/>
    </row>
    <row r="47" spans="1:16" x14ac:dyDescent="0.2">
      <c r="B47" s="5"/>
      <c r="E47" s="49"/>
      <c r="F47" s="5"/>
    </row>
    <row r="48" spans="1:16" x14ac:dyDescent="0.2">
      <c r="B48" s="5"/>
      <c r="E48" s="49"/>
      <c r="F48" s="5"/>
    </row>
    <row r="49" spans="2:6" x14ac:dyDescent="0.2">
      <c r="B49" s="5"/>
      <c r="E49" s="49"/>
      <c r="F49" s="5"/>
    </row>
    <row r="50" spans="2:6" x14ac:dyDescent="0.2">
      <c r="B50" s="5"/>
      <c r="E50" s="49"/>
      <c r="F50" s="5"/>
    </row>
    <row r="51" spans="2:6" x14ac:dyDescent="0.2">
      <c r="B51" s="5"/>
      <c r="E51" s="49"/>
      <c r="F51" s="5"/>
    </row>
    <row r="52" spans="2:6" x14ac:dyDescent="0.2">
      <c r="B52" s="5"/>
      <c r="E52" s="49"/>
      <c r="F52" s="5"/>
    </row>
    <row r="53" spans="2:6" x14ac:dyDescent="0.2">
      <c r="B53" s="5"/>
      <c r="E53" s="49"/>
      <c r="F53" s="5"/>
    </row>
    <row r="54" spans="2:6" x14ac:dyDescent="0.2">
      <c r="B54" s="5"/>
      <c r="E54" s="49"/>
      <c r="F54" s="5"/>
    </row>
    <row r="55" spans="2:6" x14ac:dyDescent="0.2">
      <c r="B55" s="5"/>
      <c r="E55" s="49"/>
      <c r="F55" s="5"/>
    </row>
    <row r="56" spans="2:6" x14ac:dyDescent="0.2">
      <c r="B56" s="5"/>
      <c r="E56" s="49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</sheetData>
  <phoneticPr fontId="8" type="noConversion"/>
  <hyperlinks>
    <hyperlink ref="P12" r:id="rId1" display="http://www.konkoly.hu/cgi-bin/IBVS?4739" xr:uid="{00000000-0004-0000-0100-000000000000}"/>
    <hyperlink ref="P13" r:id="rId2" display="http://www.konkoly.hu/cgi-bin/IBVS?4739" xr:uid="{00000000-0004-0000-0100-000001000000}"/>
    <hyperlink ref="P37" r:id="rId3" display="http://vsolj.cetus-net.org/no39.pdf" xr:uid="{00000000-0004-0000-0100-000002000000}"/>
    <hyperlink ref="P14" r:id="rId4" display="http://www.konkoly.hu/cgi-bin/IBVS?5603" xr:uid="{00000000-0004-0000-0100-000003000000}"/>
    <hyperlink ref="P15" r:id="rId5" display="http://www.konkoly.hu/cgi-bin/IBVS?5843" xr:uid="{00000000-0004-0000-0100-000004000000}"/>
    <hyperlink ref="P16" r:id="rId6" display="http://www.konkoly.hu/cgi-bin/IBVS?5843" xr:uid="{00000000-0004-0000-0100-000005000000}"/>
    <hyperlink ref="P38" r:id="rId7" display="http://vsolj.cetus-net.org/vsoljno51.pdf" xr:uid="{00000000-0004-0000-0100-000006000000}"/>
    <hyperlink ref="P39" r:id="rId8" display="http://vsolj.cetus-net.org/vsoljno51.pdf" xr:uid="{00000000-0004-0000-0100-000007000000}"/>
    <hyperlink ref="P40" r:id="rId9" display="http://vsolj.cetus-net.org/vsoljno53.pdf" xr:uid="{00000000-0004-0000-0100-000008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563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28</v>
      </c>
      <c r="B2" s="14" t="s">
        <v>42</v>
      </c>
      <c r="D2" s="10">
        <v>1.0701087</v>
      </c>
    </row>
    <row r="3" spans="1:7" ht="13.5" thickBot="1" x14ac:dyDescent="0.25">
      <c r="C3" s="13" t="s">
        <v>41</v>
      </c>
    </row>
    <row r="4" spans="1:7" ht="14.25" thickTop="1" thickBot="1" x14ac:dyDescent="0.25">
      <c r="A4" s="7" t="s">
        <v>3</v>
      </c>
      <c r="C4" s="3">
        <v>18873.723000000002</v>
      </c>
      <c r="D4" s="4">
        <v>1.0701048</v>
      </c>
    </row>
    <row r="6" spans="1:7" x14ac:dyDescent="0.2">
      <c r="A6" s="7" t="s">
        <v>4</v>
      </c>
    </row>
    <row r="7" spans="1:7" x14ac:dyDescent="0.2">
      <c r="A7" t="s">
        <v>5</v>
      </c>
      <c r="C7">
        <f>+C4</f>
        <v>18873.723000000002</v>
      </c>
    </row>
    <row r="8" spans="1:7" x14ac:dyDescent="0.2">
      <c r="A8" t="s">
        <v>6</v>
      </c>
      <c r="C8">
        <f>+D4</f>
        <v>1.0701048</v>
      </c>
    </row>
    <row r="9" spans="1:7" x14ac:dyDescent="0.2">
      <c r="A9" s="20" t="s">
        <v>46</v>
      </c>
      <c r="B9" s="21"/>
      <c r="C9" s="22">
        <v>8</v>
      </c>
      <c r="D9" s="21" t="s">
        <v>47</v>
      </c>
      <c r="E9" s="21"/>
    </row>
    <row r="10" spans="1:7" ht="13.5" thickBot="1" x14ac:dyDescent="0.25">
      <c r="A10" s="21"/>
      <c r="B10" s="21"/>
      <c r="C10" s="6" t="s">
        <v>24</v>
      </c>
      <c r="D10" s="6" t="s">
        <v>25</v>
      </c>
      <c r="E10" s="21"/>
    </row>
    <row r="11" spans="1:7" x14ac:dyDescent="0.2">
      <c r="A11" s="21" t="s">
        <v>19</v>
      </c>
      <c r="B11" s="21"/>
      <c r="C11" s="23">
        <f ca="1">INTERCEPT(INDIRECT($G$11):G991,INDIRECT($F$11):F991)</f>
        <v>0.40324521543225628</v>
      </c>
      <c r="D11" s="5"/>
      <c r="E11" s="21"/>
      <c r="F11" s="24" t="str">
        <f>"F"&amp;E19</f>
        <v>F21</v>
      </c>
      <c r="G11" s="25" t="str">
        <f>"G"&amp;E19</f>
        <v>G21</v>
      </c>
    </row>
    <row r="12" spans="1:7" x14ac:dyDescent="0.2">
      <c r="A12" s="21" t="s">
        <v>20</v>
      </c>
      <c r="B12" s="21"/>
      <c r="C12" s="23">
        <f ca="1">SLOPE(INDIRECT($G$11):G991,INDIRECT($F$11):F991)</f>
        <v>-1.5169099878189669E-5</v>
      </c>
      <c r="D12" s="5"/>
      <c r="E12" s="21"/>
    </row>
    <row r="13" spans="1:7" x14ac:dyDescent="0.2">
      <c r="A13" s="21" t="s">
        <v>23</v>
      </c>
      <c r="B13" s="21"/>
      <c r="C13" s="5" t="s">
        <v>17</v>
      </c>
      <c r="D13" s="5"/>
      <c r="E13" s="21"/>
    </row>
    <row r="14" spans="1:7" x14ac:dyDescent="0.2">
      <c r="A14" s="21"/>
      <c r="B14" s="21"/>
      <c r="C14" s="21"/>
      <c r="D14" s="21"/>
      <c r="E14" s="21"/>
    </row>
    <row r="15" spans="1:7" x14ac:dyDescent="0.2">
      <c r="A15" s="26" t="s">
        <v>21</v>
      </c>
      <c r="B15" s="21"/>
      <c r="C15" s="27">
        <f ca="1">(C7+C11)+(C8+C12)*INT(MAX(F21:F3532))</f>
        <v>54069.374205520435</v>
      </c>
      <c r="D15" s="28" t="s">
        <v>48</v>
      </c>
      <c r="E15" s="29">
        <f ca="1">TODAY()+15018.5-B9/24</f>
        <v>60681.5</v>
      </c>
    </row>
    <row r="16" spans="1:7" x14ac:dyDescent="0.2">
      <c r="A16" s="30" t="s">
        <v>7</v>
      </c>
      <c r="B16" s="21"/>
      <c r="C16" s="31">
        <f ca="1">+C8+C12</f>
        <v>1.0700896309001218</v>
      </c>
      <c r="D16" s="28" t="s">
        <v>49</v>
      </c>
      <c r="E16" s="29">
        <f ca="1">ROUND(2*(E15-C15)/C16,0)/2+1</f>
        <v>6180</v>
      </c>
    </row>
    <row r="17" spans="1:30" ht="13.5" thickBot="1" x14ac:dyDescent="0.25">
      <c r="A17" s="28" t="s">
        <v>43</v>
      </c>
      <c r="B17" s="21"/>
      <c r="C17" s="21">
        <f>COUNT(C21:C2190)</f>
        <v>7</v>
      </c>
      <c r="D17" s="28" t="s">
        <v>50</v>
      </c>
      <c r="E17" s="32">
        <f ca="1">+C15+C16*E16-15018.5-C9/24</f>
        <v>45663.69479114985</v>
      </c>
    </row>
    <row r="18" spans="1:30" x14ac:dyDescent="0.2">
      <c r="A18" s="30" t="s">
        <v>8</v>
      </c>
      <c r="B18" s="21"/>
      <c r="C18" s="33">
        <f ca="1">+C15</f>
        <v>54069.374205520435</v>
      </c>
      <c r="D18" s="34">
        <f ca="1">+C16</f>
        <v>1.0700896309001218</v>
      </c>
      <c r="E18" s="35" t="s">
        <v>51</v>
      </c>
    </row>
    <row r="19" spans="1:30" ht="13.5" thickTop="1" x14ac:dyDescent="0.2">
      <c r="A19" s="36" t="s">
        <v>52</v>
      </c>
      <c r="B19"/>
      <c r="E19" s="37">
        <v>21</v>
      </c>
    </row>
    <row r="20" spans="1:30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35</v>
      </c>
      <c r="J20" s="9" t="s">
        <v>39</v>
      </c>
      <c r="K20" s="9" t="s">
        <v>22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</row>
    <row r="21" spans="1:30" x14ac:dyDescent="0.2">
      <c r="A21" s="38" t="s">
        <v>15</v>
      </c>
      <c r="B21" s="39"/>
      <c r="C21" s="16">
        <v>18873.723000000002</v>
      </c>
      <c r="D21" s="15" t="s">
        <v>17</v>
      </c>
      <c r="E21">
        <f t="shared" ref="E21:E27" si="0">+(C21-C$7)/C$8</f>
        <v>0</v>
      </c>
      <c r="F21">
        <f t="shared" ref="F21:F27" si="1">ROUND(2*E21,0)/2</f>
        <v>0</v>
      </c>
      <c r="H21">
        <v>0</v>
      </c>
      <c r="O21">
        <f t="shared" ref="O21:O27" ca="1" si="2">+C$11+C$12*$F21</f>
        <v>0.40324521543225628</v>
      </c>
      <c r="Q21" s="2">
        <f t="shared" ref="Q21:Q27" si="3">+C21-15018.5</f>
        <v>3855.2230000000018</v>
      </c>
    </row>
    <row r="22" spans="1:30" x14ac:dyDescent="0.2">
      <c r="A22" s="38" t="s">
        <v>33</v>
      </c>
      <c r="B22" s="39"/>
      <c r="C22" s="16">
        <v>42787.339</v>
      </c>
      <c r="D22" s="15"/>
      <c r="E22">
        <f t="shared" si="0"/>
        <v>22346.985080339793</v>
      </c>
      <c r="F22">
        <f t="shared" si="1"/>
        <v>22347</v>
      </c>
      <c r="G22">
        <f t="shared" ref="G22:G27" si="4">+C22-(C$7+F22*C$8)</f>
        <v>-1.5965599995979574E-2</v>
      </c>
      <c r="I22">
        <f>+G22</f>
        <v>-1.5965599995979574E-2</v>
      </c>
      <c r="O22">
        <f t="shared" ca="1" si="2"/>
        <v>6.4261340454351723E-2</v>
      </c>
      <c r="Q22" s="2">
        <f t="shared" si="3"/>
        <v>27768.839</v>
      </c>
      <c r="AA22">
        <v>6</v>
      </c>
      <c r="AB22" t="s">
        <v>32</v>
      </c>
      <c r="AD22" t="s">
        <v>34</v>
      </c>
    </row>
    <row r="23" spans="1:30" x14ac:dyDescent="0.2">
      <c r="A23" s="38" t="s">
        <v>36</v>
      </c>
      <c r="B23" s="40" t="s">
        <v>38</v>
      </c>
      <c r="C23" s="16">
        <v>43471.773999999998</v>
      </c>
      <c r="D23" s="15">
        <v>1E-3</v>
      </c>
      <c r="E23">
        <f t="shared" si="0"/>
        <v>22986.581314278748</v>
      </c>
      <c r="F23">
        <f t="shared" si="1"/>
        <v>22986.5</v>
      </c>
      <c r="G23">
        <f t="shared" si="4"/>
        <v>8.7014799995813519E-2</v>
      </c>
      <c r="J23">
        <f>+G23</f>
        <v>8.7014799995813519E-2</v>
      </c>
      <c r="O23">
        <f t="shared" ca="1" si="2"/>
        <v>5.4560701082249419E-2</v>
      </c>
      <c r="Q23" s="2">
        <f t="shared" si="3"/>
        <v>28453.273999999998</v>
      </c>
    </row>
    <row r="24" spans="1:30" x14ac:dyDescent="0.2">
      <c r="A24" s="38" t="s">
        <v>36</v>
      </c>
      <c r="B24" s="40" t="s">
        <v>37</v>
      </c>
      <c r="C24" s="16">
        <v>43478.726999999999</v>
      </c>
      <c r="D24" s="15">
        <v>3.0000000000000001E-3</v>
      </c>
      <c r="E24">
        <f t="shared" si="0"/>
        <v>22993.078808729759</v>
      </c>
      <c r="F24">
        <f t="shared" si="1"/>
        <v>22993</v>
      </c>
      <c r="G24">
        <f t="shared" si="4"/>
        <v>8.433359999617096E-2</v>
      </c>
      <c r="J24">
        <f>+G24</f>
        <v>8.433359999617096E-2</v>
      </c>
      <c r="O24">
        <f t="shared" ca="1" si="2"/>
        <v>5.4462101933041185E-2</v>
      </c>
      <c r="Q24" s="2">
        <f t="shared" si="3"/>
        <v>28460.226999999999</v>
      </c>
    </row>
    <row r="25" spans="1:30" x14ac:dyDescent="0.2">
      <c r="A25" s="11" t="s">
        <v>40</v>
      </c>
      <c r="B25" s="12" t="s">
        <v>37</v>
      </c>
      <c r="C25" s="16">
        <v>53352.758800000003</v>
      </c>
      <c r="D25" s="16">
        <v>2.0000000000000001E-4</v>
      </c>
      <c r="E25">
        <f t="shared" si="0"/>
        <v>32220.242166935423</v>
      </c>
      <c r="F25">
        <f t="shared" si="1"/>
        <v>32220</v>
      </c>
      <c r="G25">
        <f t="shared" si="4"/>
        <v>0.25914400000328897</v>
      </c>
      <c r="J25">
        <f>+G25</f>
        <v>0.25914400000328897</v>
      </c>
      <c r="O25">
        <f t="shared" ca="1" si="2"/>
        <v>-8.5503182643014874E-2</v>
      </c>
      <c r="Q25" s="2">
        <f t="shared" si="3"/>
        <v>38334.258800000003</v>
      </c>
    </row>
    <row r="26" spans="1:30" x14ac:dyDescent="0.2">
      <c r="A26" s="18" t="s">
        <v>45</v>
      </c>
      <c r="B26" s="19" t="s">
        <v>37</v>
      </c>
      <c r="C26" s="17">
        <v>54054.764300000003</v>
      </c>
      <c r="D26" s="17">
        <v>5.0000000000000001E-4</v>
      </c>
      <c r="E26">
        <f t="shared" si="0"/>
        <v>32876.257820729334</v>
      </c>
      <c r="F26">
        <f t="shared" si="1"/>
        <v>32876.5</v>
      </c>
      <c r="G26">
        <f t="shared" si="4"/>
        <v>-0.25915720000193687</v>
      </c>
      <c r="J26">
        <f>+G26</f>
        <v>-0.25915720000193687</v>
      </c>
      <c r="O26">
        <f t="shared" ca="1" si="2"/>
        <v>-9.5461696713046384E-2</v>
      </c>
      <c r="Q26" s="2">
        <f t="shared" si="3"/>
        <v>39036.264300000003</v>
      </c>
    </row>
    <row r="27" spans="1:30" x14ac:dyDescent="0.2">
      <c r="A27" s="18" t="s">
        <v>45</v>
      </c>
      <c r="B27" s="19" t="s">
        <v>37</v>
      </c>
      <c r="C27" s="17">
        <v>54069.746200000001</v>
      </c>
      <c r="D27" s="17">
        <v>5.0000000000000001E-4</v>
      </c>
      <c r="E27">
        <f t="shared" si="0"/>
        <v>32890.258225175698</v>
      </c>
      <c r="F27">
        <f t="shared" si="1"/>
        <v>32890.5</v>
      </c>
      <c r="G27">
        <f t="shared" si="4"/>
        <v>-0.25872439999511698</v>
      </c>
      <c r="J27">
        <f>+G27</f>
        <v>-0.25872439999511698</v>
      </c>
      <c r="O27">
        <f t="shared" ca="1" si="2"/>
        <v>-9.5674064111341051E-2</v>
      </c>
      <c r="Q27" s="2">
        <f t="shared" si="3"/>
        <v>39051.246200000001</v>
      </c>
    </row>
    <row r="28" spans="1:30" x14ac:dyDescent="0.2">
      <c r="C28" s="15"/>
      <c r="D28" s="15"/>
    </row>
    <row r="29" spans="1:30" x14ac:dyDescent="0.2">
      <c r="C29" s="15"/>
      <c r="D29" s="15"/>
    </row>
    <row r="30" spans="1:30" x14ac:dyDescent="0.2">
      <c r="C30" s="15"/>
      <c r="D30" s="15"/>
    </row>
    <row r="31" spans="1:30" x14ac:dyDescent="0.2">
      <c r="C31" s="15"/>
      <c r="D31" s="15"/>
    </row>
    <row r="32" spans="1:30" x14ac:dyDescent="0.2">
      <c r="C32" s="15"/>
      <c r="D32" s="15"/>
    </row>
    <row r="33" spans="3:4" x14ac:dyDescent="0.2">
      <c r="C33" s="15"/>
      <c r="D33" s="15"/>
    </row>
    <row r="34" spans="3:4" x14ac:dyDescent="0.2">
      <c r="C34" s="15"/>
      <c r="D34" s="15"/>
    </row>
    <row r="35" spans="3:4" x14ac:dyDescent="0.2">
      <c r="C35" s="15"/>
      <c r="D35" s="15"/>
    </row>
    <row r="36" spans="3:4" x14ac:dyDescent="0.2">
      <c r="C36" s="15"/>
      <c r="D36" s="15"/>
    </row>
    <row r="37" spans="3:4" x14ac:dyDescent="0.2">
      <c r="C37" s="15"/>
      <c r="D37" s="15"/>
    </row>
    <row r="38" spans="3:4" x14ac:dyDescent="0.2">
      <c r="C38" s="15"/>
      <c r="D38" s="15"/>
    </row>
    <row r="39" spans="3:4" x14ac:dyDescent="0.2">
      <c r="C39" s="15"/>
      <c r="D39" s="15"/>
    </row>
    <row r="40" spans="3:4" x14ac:dyDescent="0.2">
      <c r="C40" s="15"/>
      <c r="D40" s="15"/>
    </row>
    <row r="41" spans="3:4" x14ac:dyDescent="0.2">
      <c r="C41" s="15"/>
      <c r="D41" s="15"/>
    </row>
    <row r="42" spans="3:4" x14ac:dyDescent="0.2">
      <c r="C42" s="15"/>
      <c r="D42" s="15"/>
    </row>
    <row r="43" spans="3:4" x14ac:dyDescent="0.2">
      <c r="C43" s="15"/>
      <c r="D43" s="15"/>
    </row>
    <row r="44" spans="3:4" x14ac:dyDescent="0.2">
      <c r="C44" s="15"/>
      <c r="D44" s="15"/>
    </row>
    <row r="45" spans="3:4" x14ac:dyDescent="0.2">
      <c r="C45" s="15"/>
      <c r="D45" s="15"/>
    </row>
    <row r="46" spans="3:4" x14ac:dyDescent="0.2">
      <c r="C46" s="15"/>
      <c r="D46" s="15"/>
    </row>
    <row r="47" spans="3:4" x14ac:dyDescent="0.2">
      <c r="C47" s="15"/>
      <c r="D47" s="15"/>
    </row>
    <row r="48" spans="3:4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45"/>
  <sheetViews>
    <sheetView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7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28</v>
      </c>
      <c r="B2" s="14" t="s">
        <v>42</v>
      </c>
      <c r="D2" s="10">
        <v>1.0701087</v>
      </c>
    </row>
    <row r="3" spans="1:7" ht="13.5" thickBot="1" x14ac:dyDescent="0.25"/>
    <row r="4" spans="1:7" x14ac:dyDescent="0.2">
      <c r="A4" s="7" t="s">
        <v>3</v>
      </c>
      <c r="C4" s="3">
        <v>18873.723000000002</v>
      </c>
      <c r="D4" s="4">
        <v>1.0701048</v>
      </c>
    </row>
    <row r="6" spans="1:7" x14ac:dyDescent="0.2">
      <c r="A6" s="7" t="s">
        <v>4</v>
      </c>
    </row>
    <row r="7" spans="1:7" x14ac:dyDescent="0.2">
      <c r="A7" t="s">
        <v>5</v>
      </c>
      <c r="C7">
        <f>+C4</f>
        <v>18873.723000000002</v>
      </c>
    </row>
    <row r="8" spans="1:7" x14ac:dyDescent="0.2">
      <c r="A8" t="s">
        <v>6</v>
      </c>
      <c r="C8">
        <v>1.070271540801639</v>
      </c>
    </row>
    <row r="9" spans="1:7" x14ac:dyDescent="0.2">
      <c r="A9" s="20" t="s">
        <v>46</v>
      </c>
      <c r="B9" s="21"/>
      <c r="C9" s="22">
        <v>8</v>
      </c>
      <c r="D9" s="21" t="s">
        <v>47</v>
      </c>
      <c r="E9" s="21"/>
    </row>
    <row r="10" spans="1:7" ht="13.5" thickBot="1" x14ac:dyDescent="0.25">
      <c r="A10" s="21"/>
      <c r="B10" s="21"/>
      <c r="C10" s="6" t="s">
        <v>24</v>
      </c>
      <c r="D10" s="6" t="s">
        <v>25</v>
      </c>
      <c r="E10" s="21"/>
    </row>
    <row r="11" spans="1:7" x14ac:dyDescent="0.2">
      <c r="A11" s="21" t="s">
        <v>19</v>
      </c>
      <c r="B11" s="21"/>
      <c r="C11" s="23">
        <f ca="1">INTERCEPT(INDIRECT($G$11):G991,INDIRECT($F$11):F991)</f>
        <v>-6.1722111006713043E-2</v>
      </c>
      <c r="D11" s="5"/>
      <c r="E11" s="21"/>
      <c r="F11" s="24" t="str">
        <f>"F"&amp;E19</f>
        <v>F21</v>
      </c>
      <c r="G11" s="25" t="str">
        <f>"G"&amp;E19</f>
        <v>G21</v>
      </c>
    </row>
    <row r="12" spans="1:7" x14ac:dyDescent="0.2">
      <c r="A12" s="21" t="s">
        <v>20</v>
      </c>
      <c r="B12" s="21"/>
      <c r="C12" s="23">
        <f ca="1">SLOPE(INDIRECT($G$11):G991,INDIRECT($F$11):F991)</f>
        <v>5.771043406232572E-6</v>
      </c>
      <c r="D12" s="5"/>
      <c r="E12" s="21"/>
    </row>
    <row r="13" spans="1:7" x14ac:dyDescent="0.2">
      <c r="A13" s="21" t="s">
        <v>23</v>
      </c>
      <c r="B13" s="21"/>
      <c r="C13" s="5" t="s">
        <v>17</v>
      </c>
      <c r="D13" s="5"/>
      <c r="E13" s="21"/>
    </row>
    <row r="14" spans="1:7" x14ac:dyDescent="0.2">
      <c r="A14" s="21"/>
      <c r="B14" s="21"/>
      <c r="C14" s="21"/>
      <c r="D14" s="21"/>
      <c r="E14" s="21"/>
    </row>
    <row r="15" spans="1:7" x14ac:dyDescent="0.2">
      <c r="A15" s="26" t="s">
        <v>21</v>
      </c>
      <c r="B15" s="21"/>
      <c r="C15" s="27">
        <f ca="1">(C7+C11)+(C8+C12)*INT(MAX(F21:F3532))</f>
        <v>54069.730677913307</v>
      </c>
      <c r="D15" s="28" t="s">
        <v>48</v>
      </c>
      <c r="E15" s="29">
        <f ca="1">TODAY()+15018.5-B9/24</f>
        <v>60681.5</v>
      </c>
    </row>
    <row r="16" spans="1:7" x14ac:dyDescent="0.2">
      <c r="A16" s="30" t="s">
        <v>7</v>
      </c>
      <c r="B16" s="21"/>
      <c r="C16" s="31">
        <f ca="1">+C8+C12</f>
        <v>1.0702773118450453</v>
      </c>
      <c r="D16" s="28" t="s">
        <v>49</v>
      </c>
      <c r="E16" s="29">
        <f ca="1">ROUND(2*(E15-C15)/C16,0)/2+1</f>
        <v>6178.5</v>
      </c>
    </row>
    <row r="17" spans="1:30" ht="13.5" thickBot="1" x14ac:dyDescent="0.25">
      <c r="A17" s="28" t="s">
        <v>43</v>
      </c>
      <c r="B17" s="21"/>
      <c r="C17" s="21">
        <f>COUNT(C21:C2190)</f>
        <v>7</v>
      </c>
      <c r="D17" s="28" t="s">
        <v>50</v>
      </c>
      <c r="E17" s="32">
        <f ca="1">+C15+C16*E16-15018.5-C9/24</f>
        <v>45663.605715814585</v>
      </c>
    </row>
    <row r="18" spans="1:30" x14ac:dyDescent="0.2">
      <c r="A18" s="30" t="s">
        <v>8</v>
      </c>
      <c r="B18" s="21"/>
      <c r="C18" s="33">
        <f ca="1">+C15</f>
        <v>54069.730677913307</v>
      </c>
      <c r="D18" s="34">
        <f ca="1">+C16</f>
        <v>1.0702773118450453</v>
      </c>
      <c r="E18" s="35" t="s">
        <v>51</v>
      </c>
    </row>
    <row r="19" spans="1:30" ht="13.5" thickTop="1" x14ac:dyDescent="0.2">
      <c r="A19" s="36" t="s">
        <v>52</v>
      </c>
      <c r="B19"/>
      <c r="E19" s="37">
        <v>21</v>
      </c>
    </row>
    <row r="20" spans="1:30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35</v>
      </c>
      <c r="J20" s="9" t="s">
        <v>39</v>
      </c>
      <c r="K20" s="9" t="s">
        <v>22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</row>
    <row r="21" spans="1:30" x14ac:dyDescent="0.2">
      <c r="A21" s="38" t="s">
        <v>15</v>
      </c>
      <c r="B21" s="39"/>
      <c r="C21" s="16">
        <v>18873.723000000002</v>
      </c>
      <c r="D21" s="15" t="s">
        <v>17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G21</f>
        <v>0</v>
      </c>
      <c r="O21">
        <f t="shared" ref="O21:O27" ca="1" si="3">+C$11+C$12*$F21</f>
        <v>-6.1722111006713043E-2</v>
      </c>
      <c r="Q21" s="2">
        <f t="shared" ref="Q21:Q27" si="4">+C21-15018.5</f>
        <v>3855.2230000000018</v>
      </c>
    </row>
    <row r="22" spans="1:30" x14ac:dyDescent="0.2">
      <c r="A22" s="38" t="s">
        <v>33</v>
      </c>
      <c r="B22" s="39"/>
      <c r="C22" s="16">
        <v>42787.339</v>
      </c>
      <c r="D22" s="15"/>
      <c r="E22">
        <f t="shared" si="0"/>
        <v>22343.503576754527</v>
      </c>
      <c r="F22">
        <f t="shared" si="1"/>
        <v>22343.5</v>
      </c>
      <c r="G22">
        <f t="shared" si="2"/>
        <v>3.8280985754681751E-3</v>
      </c>
      <c r="I22">
        <f>+G22</f>
        <v>3.8280985754681751E-3</v>
      </c>
      <c r="O22">
        <f t="shared" ca="1" si="3"/>
        <v>6.7223197340444435E-2</v>
      </c>
      <c r="Q22" s="2">
        <f t="shared" si="4"/>
        <v>27768.839</v>
      </c>
      <c r="AA22">
        <v>6</v>
      </c>
      <c r="AB22" t="s">
        <v>32</v>
      </c>
      <c r="AD22" t="s">
        <v>34</v>
      </c>
    </row>
    <row r="23" spans="1:30" x14ac:dyDescent="0.2">
      <c r="A23" s="38" t="s">
        <v>36</v>
      </c>
      <c r="B23" s="40" t="s">
        <v>38</v>
      </c>
      <c r="C23" s="16">
        <v>43471.773999999998</v>
      </c>
      <c r="D23" s="15">
        <v>1E-3</v>
      </c>
      <c r="E23">
        <f t="shared" si="0"/>
        <v>22983.000166084887</v>
      </c>
      <c r="F23">
        <f t="shared" si="1"/>
        <v>22983</v>
      </c>
      <c r="G23">
        <f t="shared" si="2"/>
        <v>1.7775593005353585E-4</v>
      </c>
      <c r="J23">
        <f>+G23</f>
        <v>1.7775593005353585E-4</v>
      </c>
      <c r="O23">
        <f t="shared" ca="1" si="3"/>
        <v>7.0913779598730159E-2</v>
      </c>
      <c r="Q23" s="2">
        <f t="shared" si="4"/>
        <v>28453.273999999998</v>
      </c>
    </row>
    <row r="24" spans="1:30" x14ac:dyDescent="0.2">
      <c r="A24" s="38" t="s">
        <v>36</v>
      </c>
      <c r="B24" s="40" t="s">
        <v>37</v>
      </c>
      <c r="C24" s="16">
        <v>43478.726999999999</v>
      </c>
      <c r="D24" s="15">
        <v>3.0000000000000001E-3</v>
      </c>
      <c r="E24">
        <f t="shared" si="0"/>
        <v>22989.496648271819</v>
      </c>
      <c r="F24">
        <f t="shared" si="1"/>
        <v>22989.5</v>
      </c>
      <c r="G24">
        <f t="shared" si="2"/>
        <v>-3.5872592852683738E-3</v>
      </c>
      <c r="J24">
        <f>+G24</f>
        <v>-3.5872592852683738E-3</v>
      </c>
      <c r="O24">
        <f t="shared" ca="1" si="3"/>
        <v>7.0951291380870668E-2</v>
      </c>
      <c r="Q24" s="2">
        <f t="shared" si="4"/>
        <v>28460.226999999999</v>
      </c>
    </row>
    <row r="25" spans="1:30" x14ac:dyDescent="0.2">
      <c r="A25" s="11" t="s">
        <v>40</v>
      </c>
      <c r="B25" s="12" t="s">
        <v>37</v>
      </c>
      <c r="C25" s="16">
        <v>53352.758800000003</v>
      </c>
      <c r="D25" s="16">
        <v>2.0000000000000001E-4</v>
      </c>
      <c r="E25">
        <f t="shared" si="0"/>
        <v>32215.222479124335</v>
      </c>
      <c r="F25">
        <f t="shared" si="1"/>
        <v>32215</v>
      </c>
      <c r="G25">
        <f t="shared" si="2"/>
        <v>0.23811307519645197</v>
      </c>
      <c r="J25">
        <f>+G25</f>
        <v>0.23811307519645197</v>
      </c>
      <c r="O25">
        <f t="shared" ca="1" si="3"/>
        <v>0.12419205232506927</v>
      </c>
      <c r="Q25" s="2">
        <f t="shared" si="4"/>
        <v>38334.258800000003</v>
      </c>
    </row>
    <row r="26" spans="1:30" x14ac:dyDescent="0.2">
      <c r="A26" s="18" t="s">
        <v>45</v>
      </c>
      <c r="B26" s="19" t="s">
        <v>37</v>
      </c>
      <c r="C26" s="17">
        <v>54054.764300000003</v>
      </c>
      <c r="D26" s="17">
        <v>5.0000000000000001E-4</v>
      </c>
      <c r="E26">
        <f t="shared" si="0"/>
        <v>32871.135930279161</v>
      </c>
      <c r="F26">
        <f t="shared" si="1"/>
        <v>32871</v>
      </c>
      <c r="G26">
        <f t="shared" si="2"/>
        <v>0.14548230932996375</v>
      </c>
      <c r="J26">
        <f>+G26</f>
        <v>0.14548230932996375</v>
      </c>
      <c r="O26">
        <f t="shared" ca="1" si="3"/>
        <v>0.12797785679955784</v>
      </c>
      <c r="Q26" s="2">
        <f t="shared" si="4"/>
        <v>39036.264300000003</v>
      </c>
    </row>
    <row r="27" spans="1:30" x14ac:dyDescent="0.2">
      <c r="A27" s="18" t="s">
        <v>45</v>
      </c>
      <c r="B27" s="19" t="s">
        <v>37</v>
      </c>
      <c r="C27" s="17">
        <v>54069.746200000001</v>
      </c>
      <c r="D27" s="17">
        <v>5.0000000000000001E-4</v>
      </c>
      <c r="E27">
        <f t="shared" si="0"/>
        <v>32885.134153560684</v>
      </c>
      <c r="F27">
        <f t="shared" si="1"/>
        <v>32885</v>
      </c>
      <c r="G27">
        <f t="shared" si="2"/>
        <v>0.14358073809853522</v>
      </c>
      <c r="J27">
        <f>+G27</f>
        <v>0.14358073809853522</v>
      </c>
      <c r="O27">
        <f t="shared" ca="1" si="3"/>
        <v>0.12805865140724509</v>
      </c>
      <c r="Q27" s="2">
        <f t="shared" si="4"/>
        <v>39051.246200000001</v>
      </c>
    </row>
    <row r="28" spans="1:30" x14ac:dyDescent="0.2">
      <c r="D28" s="5"/>
    </row>
    <row r="29" spans="1:30" x14ac:dyDescent="0.2">
      <c r="D29" s="5"/>
    </row>
    <row r="30" spans="1:30" x14ac:dyDescent="0.2">
      <c r="D30" s="5"/>
    </row>
    <row r="31" spans="1:30" x14ac:dyDescent="0.2">
      <c r="D31" s="5"/>
    </row>
    <row r="32" spans="1:30" x14ac:dyDescent="0.2">
      <c r="D32" s="5"/>
    </row>
    <row r="33" spans="4:4" x14ac:dyDescent="0.2">
      <c r="D33" s="5"/>
    </row>
    <row r="34" spans="4:4" x14ac:dyDescent="0.2">
      <c r="D34" s="5"/>
    </row>
    <row r="35" spans="4:4" x14ac:dyDescent="0.2">
      <c r="D35" s="5"/>
    </row>
    <row r="36" spans="4:4" x14ac:dyDescent="0.2">
      <c r="D36" s="5"/>
    </row>
    <row r="37" spans="4:4" x14ac:dyDescent="0.2">
      <c r="D37" s="5"/>
    </row>
    <row r="38" spans="4:4" x14ac:dyDescent="0.2">
      <c r="D38" s="5"/>
    </row>
    <row r="39" spans="4:4" x14ac:dyDescent="0.2">
      <c r="D39" s="5"/>
    </row>
    <row r="40" spans="4:4" x14ac:dyDescent="0.2">
      <c r="D40" s="5"/>
    </row>
    <row r="41" spans="4:4" x14ac:dyDescent="0.2">
      <c r="D41" s="5"/>
    </row>
    <row r="42" spans="4:4" x14ac:dyDescent="0.2">
      <c r="D42" s="5"/>
    </row>
    <row r="43" spans="4:4" x14ac:dyDescent="0.2">
      <c r="D43" s="5"/>
    </row>
    <row r="44" spans="4:4" x14ac:dyDescent="0.2">
      <c r="D44" s="5"/>
    </row>
    <row r="45" spans="4:4" x14ac:dyDescent="0.2">
      <c r="D45" s="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2025-01-06T02:34:03Z</dcterms:modified>
</cp:coreProperties>
</file>