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104A80-C6D9-4110-86DD-8324AD4713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E25" i="1"/>
  <c r="F25" i="1" s="1"/>
  <c r="G25" i="1" s="1"/>
  <c r="I25" i="1" s="1"/>
  <c r="Q25" i="1"/>
  <c r="E26" i="1"/>
  <c r="F26" i="1" s="1"/>
  <c r="G26" i="1" s="1"/>
  <c r="I26" i="1" s="1"/>
  <c r="Q26" i="1"/>
  <c r="F14" i="1"/>
  <c r="E24" i="1"/>
  <c r="F24" i="1" s="1"/>
  <c r="G24" i="1" s="1"/>
  <c r="I24" i="1" s="1"/>
  <c r="Q24" i="1"/>
  <c r="E23" i="1"/>
  <c r="F23" i="1" s="1"/>
  <c r="G23" i="1" s="1"/>
  <c r="I23" i="1" s="1"/>
  <c r="Q23" i="1"/>
  <c r="G11" i="1"/>
  <c r="F11" i="1"/>
  <c r="E22" i="1"/>
  <c r="F22" i="1"/>
  <c r="G22" i="1" s="1"/>
  <c r="H22" i="1" s="1"/>
  <c r="C17" i="1"/>
  <c r="Q22" i="1"/>
  <c r="C12" i="1"/>
  <c r="F15" i="1" l="1"/>
  <c r="C16" i="1"/>
  <c r="D18" i="1" s="1"/>
  <c r="C11" i="1"/>
  <c r="O21" i="1" l="1"/>
  <c r="O25" i="1"/>
  <c r="O26" i="1"/>
  <c r="O24" i="1"/>
  <c r="C15" i="1"/>
  <c r="O23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<sst xmlns="http://schemas.openxmlformats.org/spreadsheetml/2006/main" count="64" uniqueCount="53">
  <si>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</si>
  <si>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</si>
  <si>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</si>
  <si>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</si>
  <si>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</si>
  <si>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</si>
  <si>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</si>
  <si>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</si>
  <si>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</si>
  <si>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</si>
  <si>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</si>
  <si>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</si>
  <si>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</si>
  <si>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</si>
  <si>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</si>
  <si>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</si>
  <si>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</si>
  <si>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</si>
  <si>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</si>
  <si>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</si>
  <si>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</si>
  <si>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</si>
  <si>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</si>
  <si>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</si>
  <si>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</si>
  <si>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</si>
  <si>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</si>
  <si>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</si>
  <si>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</si>
  <si>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</si>
  <si>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</si>
  <si>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</si>
  <si>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</si>
  <si>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</si>
  <si>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</si>
  <si>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</si>
  <si>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</si>
  <si>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IT Lib / GSC 6768-1485</t>
  </si>
  <si>
    <t>EA:</t>
  </si>
  <si>
    <t>Kreiner</t>
  </si>
  <si>
    <t>not avail.</t>
  </si>
  <si>
    <t>IBVS 5690</t>
  </si>
  <si>
    <t>I</t>
  </si>
  <si>
    <t>JBAV, 55</t>
  </si>
  <si>
    <t>PE?</t>
  </si>
  <si>
    <t>CCD</t>
  </si>
  <si>
    <t>JBAV 96</t>
  </si>
  <si>
    <t>Next ToM-P</t>
  </si>
  <si>
    <t>Next ToM-S</t>
  </si>
  <si>
    <t>9.01-9.51</t>
  </si>
  <si>
    <t>Mag Hp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</si>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</sst>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>
      <alignment vertical="top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12" xfId="0" applyNumberFormat="1" applyFont="1" applyBorder="1" applyAlignment="1">
      <alignment horizontal="right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" xfId="0" applyFont="1" applyBorder="1" applyAlignment="1"/>
    <xf numFmtId="0" fontId="14" fillId="0" borderId="0" xfId="0" applyFont="1" applyBorder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Lib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1764</c:v>
                </c:pt>
                <c:pt idx="2">
                  <c:v>2217</c:v>
                </c:pt>
                <c:pt idx="3">
                  <c:v>4800</c:v>
                </c:pt>
                <c:pt idx="4">
                  <c:v>5118</c:v>
                </c:pt>
                <c:pt idx="5">
                  <c:v>5286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-3.4039999998640269E-2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1B-4F68-B7EB-75E2264A97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1764</c:v>
                </c:pt>
                <c:pt idx="2">
                  <c:v>2217</c:v>
                </c:pt>
                <c:pt idx="3">
                  <c:v>4800</c:v>
                </c:pt>
                <c:pt idx="4">
                  <c:v>5118</c:v>
                </c:pt>
                <c:pt idx="5">
                  <c:v>5286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2">
                  <c:v>-5.0619999994523823E-2</c:v>
                </c:pt>
                <c:pt idx="3">
                  <c:v>-7.5999999993655365E-2</c:v>
                </c:pt>
                <c:pt idx="4">
                  <c:v>-8.4279999769933056E-2</c:v>
                </c:pt>
                <c:pt idx="5">
                  <c:v>-9.0560000091500115E-2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1B-4F68-B7EB-75E2264A97D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1764</c:v>
                </c:pt>
                <c:pt idx="2">
                  <c:v>2217</c:v>
                </c:pt>
                <c:pt idx="3">
                  <c:v>4800</c:v>
                </c:pt>
                <c:pt idx="4">
                  <c:v>5118</c:v>
                </c:pt>
                <c:pt idx="5">
                  <c:v>5286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1B-4F68-B7EB-75E2264A97D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1764</c:v>
                </c:pt>
                <c:pt idx="2">
                  <c:v>2217</c:v>
                </c:pt>
                <c:pt idx="3">
                  <c:v>4800</c:v>
                </c:pt>
                <c:pt idx="4">
                  <c:v>5118</c:v>
                </c:pt>
                <c:pt idx="5">
                  <c:v>5286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1B-4F68-B7EB-75E2264A97D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1764</c:v>
                </c:pt>
                <c:pt idx="2">
                  <c:v>2217</c:v>
                </c:pt>
                <c:pt idx="3">
                  <c:v>4800</c:v>
                </c:pt>
                <c:pt idx="4">
                  <c:v>5118</c:v>
                </c:pt>
                <c:pt idx="5">
                  <c:v>5286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1B-4F68-B7EB-75E2264A97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1764</c:v>
                </c:pt>
                <c:pt idx="2">
                  <c:v>2217</c:v>
                </c:pt>
                <c:pt idx="3">
                  <c:v>4800</c:v>
                </c:pt>
                <c:pt idx="4">
                  <c:v>5118</c:v>
                </c:pt>
                <c:pt idx="5">
                  <c:v>5286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1B-4F68-B7EB-75E2264A97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1E-3</c:v>
                  </c:pt>
                  <c:pt idx="3">
                    <c:v>0.01</c:v>
                  </c:pt>
                  <c:pt idx="4">
                    <c:v>0.01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1764</c:v>
                </c:pt>
                <c:pt idx="2">
                  <c:v>2217</c:v>
                </c:pt>
                <c:pt idx="3">
                  <c:v>4800</c:v>
                </c:pt>
                <c:pt idx="4">
                  <c:v>5118</c:v>
                </c:pt>
                <c:pt idx="5">
                  <c:v>5286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1B-4F68-B7EB-75E2264A97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1764</c:v>
                </c:pt>
                <c:pt idx="2">
                  <c:v>2217</c:v>
                </c:pt>
                <c:pt idx="3">
                  <c:v>4800</c:v>
                </c:pt>
                <c:pt idx="4">
                  <c:v>5118</c:v>
                </c:pt>
                <c:pt idx="5">
                  <c:v>5286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-5.7457882492853996E-3</c:v>
                </c:pt>
                <c:pt idx="1">
                  <c:v>-3.3424108650738665E-2</c:v>
                </c:pt>
                <c:pt idx="2">
                  <c:v>-4.053197664498942E-2</c:v>
                </c:pt>
                <c:pt idx="3">
                  <c:v>-8.1060945804260279E-2</c:v>
                </c:pt>
                <c:pt idx="4">
                  <c:v>-8.6050574992277362E-2</c:v>
                </c:pt>
                <c:pt idx="5">
                  <c:v>-8.8686605506701488E-2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1B-4F68-B7EB-75E2264A97D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1764</c:v>
                </c:pt>
                <c:pt idx="2">
                  <c:v>2217</c:v>
                </c:pt>
                <c:pt idx="3">
                  <c:v>4800</c:v>
                </c:pt>
                <c:pt idx="4">
                  <c:v>5118</c:v>
                </c:pt>
                <c:pt idx="5">
                  <c:v>5286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1B-4F68-B7EB-75E2264A9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45072"/>
        <c:axId val="1"/>
      </c:scatterChart>
      <c:valAx>
        <c:axId val="41804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045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5338345864661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0</xdr:row>
      <xdr:rowOff>0</xdr:rowOff>
    </xdr:from>
    <xdr:to>
      <xdr:col>17</xdr:col>
      <xdr:colOff>438150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FA62D0-7AB7-CF78-E618-8B7A4E5CE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7109375" customWidth="1"/>
    <col min="6" max="6" width="14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ht="12.95" customHeight="1" x14ac:dyDescent="0.2">
      <c r="A2" t="s">
        <v>23</v>
      </c>
      <c r="B2" s="24" t="s">
        <v>38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40</v>
      </c>
      <c r="D4" s="26" t="s">
        <v>40</v>
      </c>
    </row>
    <row r="5" spans="1:7" ht="12.95" customHeight="1" x14ac:dyDescent="0.2"/>
    <row r="6" spans="1:7" ht="12.95" customHeight="1" x14ac:dyDescent="0.2">
      <c r="A6" s="5" t="s">
        <v>1</v>
      </c>
      <c r="E6" s="47" t="s">
        <v>52</v>
      </c>
      <c r="F6" s="48"/>
    </row>
    <row r="7" spans="1:7" ht="12.95" customHeight="1" x14ac:dyDescent="0.2">
      <c r="A7" t="s">
        <v>2</v>
      </c>
      <c r="C7" s="31">
        <v>48500.767999999996</v>
      </c>
      <c r="D7" s="46" t="s">
        <v>51</v>
      </c>
      <c r="E7" s="49">
        <v>52500.5334</v>
      </c>
      <c r="F7" s="50" t="s">
        <v>39</v>
      </c>
    </row>
    <row r="8" spans="1:7" ht="12.95" customHeight="1" x14ac:dyDescent="0.2">
      <c r="A8" t="s">
        <v>3</v>
      </c>
      <c r="C8" s="31">
        <v>2.2674599999999998</v>
      </c>
      <c r="D8" s="46" t="s">
        <v>51</v>
      </c>
      <c r="E8" s="51">
        <v>2.2674249</v>
      </c>
      <c r="F8" s="52" t="s">
        <v>39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18">
        <f ca="1">INTERCEPT(INDIRECT($G$11):G992,INDIRECT($F$11):F992)</f>
        <v>-5.7457882492853996E-3</v>
      </c>
      <c r="D11" s="3"/>
      <c r="E11" s="10"/>
      <c r="F11" s="19" t="str">
        <f>"F"&amp;E19</f>
        <v>F21</v>
      </c>
      <c r="G11" s="20" t="str">
        <f>"G"&amp;E19</f>
        <v>G21</v>
      </c>
    </row>
    <row r="12" spans="1:7" ht="12.95" customHeight="1" x14ac:dyDescent="0.2">
      <c r="A12" s="10" t="s">
        <v>16</v>
      </c>
      <c r="B12" s="10"/>
      <c r="C12" s="18">
        <f ca="1">SLOPE(INDIRECT($G$11):G992,INDIRECT($F$11):F992)</f>
        <v>-1.56906578239531E-5</v>
      </c>
      <c r="D12" s="3"/>
      <c r="E12" s="45" t="s">
        <v>50</v>
      </c>
      <c r="F12" s="44" t="s">
        <v>49</v>
      </c>
    </row>
    <row r="13" spans="1:7" ht="12.95" customHeight="1" x14ac:dyDescent="0.2">
      <c r="A13" s="10" t="s">
        <v>18</v>
      </c>
      <c r="B13" s="10"/>
      <c r="C13" s="3" t="s">
        <v>13</v>
      </c>
      <c r="D13" s="14"/>
      <c r="E13" s="38" t="s">
        <v>34</v>
      </c>
      <c r="F13" s="41">
        <v>1</v>
      </c>
    </row>
    <row r="14" spans="1:7" ht="12.95" customHeight="1" x14ac:dyDescent="0.2">
      <c r="A14" s="10"/>
      <c r="B14" s="10"/>
      <c r="C14" s="10"/>
      <c r="D14" s="14"/>
      <c r="E14" s="38" t="s">
        <v>31</v>
      </c>
      <c r="F14" s="41">
        <f ca="1">NOW()+15018.5+$C$9/24</f>
        <v>60681.664616550923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60486.472873394487</v>
      </c>
      <c r="D15" s="14"/>
      <c r="E15" s="38" t="s">
        <v>35</v>
      </c>
      <c r="F15" s="41">
        <f ca="1">ROUND(2*($F$14-$C$7)/$C$8,0)/2+$F$13</f>
        <v>5373</v>
      </c>
    </row>
    <row r="16" spans="1:7" ht="12.95" customHeight="1" x14ac:dyDescent="0.2">
      <c r="A16" s="15" t="s">
        <v>4</v>
      </c>
      <c r="B16" s="10"/>
      <c r="C16" s="16">
        <f ca="1">+C8+C12</f>
        <v>2.2674443093421757</v>
      </c>
      <c r="D16" s="14"/>
      <c r="E16" s="38" t="s">
        <v>36</v>
      </c>
      <c r="F16" s="41">
        <f ca="1">ROUND(2*($F$14-$C$15)/$C$16,0)/2+$F$13</f>
        <v>87</v>
      </c>
    </row>
    <row r="17" spans="1:18" ht="12.95" customHeight="1" thickBot="1" x14ac:dyDescent="0.25">
      <c r="A17" s="14" t="s">
        <v>28</v>
      </c>
      <c r="B17" s="10"/>
      <c r="C17" s="10">
        <f>COUNT(C21:C2191)</f>
        <v>6</v>
      </c>
      <c r="D17" s="14"/>
      <c r="E17" s="39" t="s">
        <v>47</v>
      </c>
      <c r="F17" s="42">
        <f ca="1">+$C$15+$C$16*$F$16-15018.5-$C$9/24</f>
        <v>45665.636361640594</v>
      </c>
    </row>
    <row r="18" spans="1:18" ht="12.95" customHeight="1" thickTop="1" thickBot="1" x14ac:dyDescent="0.25">
      <c r="A18" s="15" t="s">
        <v>5</v>
      </c>
      <c r="B18" s="10"/>
      <c r="C18" s="17">
        <f ca="1">+C15</f>
        <v>60486.472873394487</v>
      </c>
      <c r="D18" s="37">
        <f ca="1">+C16</f>
        <v>2.2674443093421757</v>
      </c>
      <c r="E18" s="40" t="s">
        <v>48</v>
      </c>
      <c r="F18" s="43">
        <f ca="1">+($C$15+$C$16*$F$16)-($C$16/2)-15018.5-$C$9/24</f>
        <v>45664.502639485923</v>
      </c>
    </row>
    <row r="19" spans="1:18" ht="12.95" customHeight="1" thickTop="1" x14ac:dyDescent="0.2">
      <c r="A19" s="21" t="s">
        <v>32</v>
      </c>
      <c r="E19" s="22">
        <v>21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45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3" t="s">
        <v>33</v>
      </c>
    </row>
    <row r="21" spans="1:18" ht="12.95" customHeight="1" x14ac:dyDescent="0.2">
      <c r="A21" s="53" t="s">
        <v>51</v>
      </c>
      <c r="C21" s="8">
        <v>48500.767999999996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-5.7457882492853996E-3</v>
      </c>
      <c r="Q21" s="2">
        <f>+C21-15018.5</f>
        <v>33482.267999999996</v>
      </c>
    </row>
    <row r="22" spans="1:18" ht="12.95" customHeight="1" x14ac:dyDescent="0.2">
      <c r="A22" s="54" t="s">
        <v>39</v>
      </c>
      <c r="C22" s="8">
        <v>52500.5334</v>
      </c>
      <c r="D22" s="8" t="s">
        <v>13</v>
      </c>
      <c r="E22">
        <f>+(C22-C$7)/C$8</f>
        <v>1763.9849876072806</v>
      </c>
      <c r="F22">
        <f>ROUND(2*E22,0)/2</f>
        <v>1764</v>
      </c>
      <c r="G22">
        <f>+C22-(C$7+F22*C$8)</f>
        <v>-3.4039999998640269E-2</v>
      </c>
      <c r="H22">
        <f>+G22</f>
        <v>-3.4039999998640269E-2</v>
      </c>
      <c r="O22">
        <f ca="1">+C$11+C$12*$F22</f>
        <v>-3.3424108650738665E-2</v>
      </c>
      <c r="Q22" s="2">
        <f>+C22-15018.5</f>
        <v>37482.0334</v>
      </c>
    </row>
    <row r="23" spans="1:18" ht="12.95" customHeight="1" x14ac:dyDescent="0.2">
      <c r="A23" s="27" t="s">
        <v>41</v>
      </c>
      <c r="B23" s="28" t="s">
        <v>42</v>
      </c>
      <c r="C23" s="27">
        <v>53527.676200000002</v>
      </c>
      <c r="D23" s="27">
        <v>1E-3</v>
      </c>
      <c r="E23">
        <f>+(C23-C$7)/C$8</f>
        <v>2216.9776754606501</v>
      </c>
      <c r="F23">
        <f>ROUND(2*E23,0)/2</f>
        <v>2217</v>
      </c>
      <c r="G23">
        <f>+C23-(C$7+F23*C$8)</f>
        <v>-5.0619999994523823E-2</v>
      </c>
      <c r="I23">
        <f>+G23</f>
        <v>-5.0619999994523823E-2</v>
      </c>
      <c r="O23">
        <f ca="1">+C$11+C$12*$F23</f>
        <v>-4.053197664498942E-2</v>
      </c>
      <c r="Q23" s="2">
        <f>+C23-15018.5</f>
        <v>38509.176200000002</v>
      </c>
    </row>
    <row r="24" spans="1:18" ht="12.95" customHeight="1" x14ac:dyDescent="0.2">
      <c r="A24" s="29" t="s">
        <v>43</v>
      </c>
      <c r="B24" s="30" t="s">
        <v>42</v>
      </c>
      <c r="C24" s="32">
        <v>59384.5</v>
      </c>
      <c r="D24" s="33">
        <v>0.01</v>
      </c>
      <c r="E24">
        <f>+(C24-C$7)/C$8</f>
        <v>4799.9664823194253</v>
      </c>
      <c r="F24">
        <f>ROUND(2*E24,0)/2</f>
        <v>4800</v>
      </c>
      <c r="G24">
        <f>+C24-(C$7+F24*C$8)</f>
        <v>-7.5999999993655365E-2</v>
      </c>
      <c r="I24">
        <f>+G24</f>
        <v>-7.5999999993655365E-2</v>
      </c>
      <c r="O24">
        <f ca="1">+C$11+C$12*$F24</f>
        <v>-8.1060945804260279E-2</v>
      </c>
      <c r="Q24" s="2">
        <f>+C24-15018.5</f>
        <v>44366</v>
      </c>
    </row>
    <row r="25" spans="1:18" ht="12.95" customHeight="1" x14ac:dyDescent="0.2">
      <c r="A25" s="34" t="s">
        <v>46</v>
      </c>
      <c r="B25" s="35" t="s">
        <v>42</v>
      </c>
      <c r="C25" s="36">
        <v>60105.544000000227</v>
      </c>
      <c r="D25" s="34">
        <v>0.01</v>
      </c>
      <c r="E25">
        <f>+(C25-C$7)/C$8</f>
        <v>5117.9628306564309</v>
      </c>
      <c r="F25">
        <f>ROUND(2*E25,0)/2</f>
        <v>5118</v>
      </c>
      <c r="G25">
        <f>+C25-(C$7+F25*C$8)</f>
        <v>-8.4279999769933056E-2</v>
      </c>
      <c r="I25">
        <f>+G25</f>
        <v>-8.4279999769933056E-2</v>
      </c>
      <c r="O25">
        <f ca="1">+C$11+C$12*$F25</f>
        <v>-8.6050574992277362E-2</v>
      </c>
      <c r="Q25" s="2">
        <f>+C25-15018.5</f>
        <v>45087.044000000227</v>
      </c>
    </row>
    <row r="26" spans="1:18" ht="12.95" customHeight="1" x14ac:dyDescent="0.2">
      <c r="A26" s="34" t="s">
        <v>46</v>
      </c>
      <c r="B26" s="35" t="s">
        <v>42</v>
      </c>
      <c r="C26" s="36">
        <v>60486.470999999903</v>
      </c>
      <c r="D26" s="34">
        <v>0.01</v>
      </c>
      <c r="E26">
        <f>+(C26-C$7)/C$8</f>
        <v>5285.96006103742</v>
      </c>
      <c r="F26">
        <f>ROUND(2*E26,0)/2</f>
        <v>5286</v>
      </c>
      <c r="G26">
        <f>+C26-(C$7+F26*C$8)</f>
        <v>-9.0560000091500115E-2</v>
      </c>
      <c r="I26">
        <f>+G26</f>
        <v>-9.0560000091500115E-2</v>
      </c>
      <c r="O26">
        <f ca="1">+C$11+C$12*$F26</f>
        <v>-8.8686605506701488E-2</v>
      </c>
      <c r="Q26" s="2">
        <f>+C26-15018.5</f>
        <v>45467.970999999903</v>
      </c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33">
    <sortCondition ref="C21:C33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2025-01-06T02:57:02Z</dcterms:modified>
</cp:coreProperties>
</file>