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FBD79F4-EB9B-4541-9FC1-D6CE4DC32C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F14" i="1"/>
  <c r="E22" i="1"/>
  <c r="F22" i="1"/>
  <c r="G22" i="1" s="1"/>
  <c r="K22" i="1" s="1"/>
  <c r="Q22" i="1"/>
  <c r="E23" i="1"/>
  <c r="F23" i="1"/>
  <c r="G23" i="1" s="1"/>
  <c r="K23" i="1" s="1"/>
  <c r="Q23" i="1"/>
  <c r="C9" i="1"/>
  <c r="Q21" i="1"/>
  <c r="D9" i="1"/>
  <c r="E21" i="1"/>
  <c r="F21" i="1" s="1"/>
  <c r="G21" i="1" s="1"/>
  <c r="I21" i="1" s="1"/>
  <c r="C17" i="1"/>
  <c r="C11" i="1"/>
  <c r="C12" i="1"/>
  <c r="O24" i="1" l="1"/>
  <c r="F15" i="1"/>
  <c r="O23" i="1"/>
  <c r="O22" i="1"/>
  <c r="C16" i="1"/>
  <c r="D18" i="1" s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<sst xmlns="http://schemas.openxmlformats.org/spreadsheetml/2006/main" count="59" uniqueCount="55">
  <si>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</si>
  <si>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</si>
  <si>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</si>
  <si>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</si>
  <si>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</si>
  <si>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</si>
  <si>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</si>
  <si>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</si>
  <si>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</si>
  <si>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</si>
  <si>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</si>
  <si>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</si>
  <si>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</si>
  <si>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</si>
  <si>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</si>
  <si>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</si>
  <si>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</si>
  <si>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</si>
  <si>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</si>
  <si>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</si>
  <si>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</si>
  <si>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</si>
  <si>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</si>
  <si>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</si>
  <si>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</si>
  <si>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</si>
  <si>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</si>
  <si>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</si>
  <si>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</si>
  <si>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</si>
  <si>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</si>
  <si>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</si>
  <si>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</si>
  <si>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</si>
  <si>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</si>
  <si>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</si>
  <si>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</si>
  <si>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</si>
  <si>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</si>
  <si>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</si>
  <si>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</si>
  <si>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</si>
  <si>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</si>
  <si>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MO Lyn</t>
  </si>
  <si>
    <t>EB</t>
  </si>
  <si>
    <t>VSX</t>
  </si>
  <si>
    <t>JBAV, 60</t>
  </si>
  <si>
    <t>I</t>
  </si>
  <si>
    <t>JBAV, 63</t>
  </si>
  <si>
    <t>II</t>
  </si>
  <si>
    <t>JBAV 96</t>
  </si>
  <si>
    <t>Next ToM-P</t>
  </si>
  <si>
    <t>Next ToM-S</t>
  </si>
  <si>
    <t>10.93-11.60</t>
  </si>
  <si>
    <t>Mag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</si>
</sst>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7" xfId="0" applyBorder="1" applyAlignment="1">
      <alignment vertical="center"/>
    </xf>
    <xf numFmtId="0" fontId="19" fillId="0" borderId="10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22" fontId="20" fillId="0" borderId="13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Lyn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  <c:pt idx="3">
                  <c:v>10488.5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  <c:pt idx="3">
                  <c:v>10488.5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  <c:pt idx="3">
                  <c:v>10488.5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  <c:pt idx="3">
                  <c:v>10488.5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-2.7774999995017424E-2</c:v>
                </c:pt>
                <c:pt idx="2">
                  <c:v>-2.0564999998896383E-2</c:v>
                </c:pt>
                <c:pt idx="3">
                  <c:v>-2.6995000065653585E-2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  <c:pt idx="3">
                  <c:v>10488.5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  <c:pt idx="3">
                  <c:v>10488.5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2.3999999999999998E-3</c:v>
                  </c:pt>
                  <c:pt idx="2">
                    <c:v>2.0999999999999999E-3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  <c:pt idx="3">
                  <c:v>10488.5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  <c:pt idx="3">
                  <c:v>10488.5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-2.615117520711023E-4</c:v>
                </c:pt>
                <c:pt idx="1">
                  <c:v>-2.3272404311584338E-2</c:v>
                </c:pt>
                <c:pt idx="2">
                  <c:v>-2.4152366954711256E-2</c:v>
                </c:pt>
                <c:pt idx="3">
                  <c:v>-2.7648717041200699E-2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8812.5</c:v>
                </c:pt>
                <c:pt idx="2">
                  <c:v>9149.5</c:v>
                </c:pt>
                <c:pt idx="3">
                  <c:v>10488.5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5" t="s">
        <v>41</v>
      </c>
      <c r="G1" s="6"/>
      <c r="H1" s="3"/>
      <c r="I1" s="7"/>
      <c r="J1" s="8"/>
      <c r="K1" s="4"/>
      <c r="L1" s="9"/>
      <c r="M1" s="10"/>
      <c r="N1" s="10"/>
      <c r="O1" s="11"/>
    </row>
    <row r="2" spans="1:15" s="15" customFormat="1" ht="12.95" customHeight="1" x14ac:dyDescent="0.2">
      <c r="A2" s="15" t="s">
        <v>23</v>
      </c>
      <c r="B2" s="16" t="s">
        <v>44</v>
      </c>
      <c r="C2" s="17"/>
      <c r="D2" s="18"/>
    </row>
    <row r="3" spans="1:15" s="15" customFormat="1" ht="12.95" customHeight="1" thickBot="1" x14ac:dyDescent="0.25"/>
    <row r="4" spans="1:15" s="15" customFormat="1" ht="12.95" customHeight="1" thickTop="1" thickBot="1" x14ac:dyDescent="0.25">
      <c r="A4" s="19" t="s">
        <v>0</v>
      </c>
      <c r="C4" s="20" t="s">
        <v>36</v>
      </c>
      <c r="D4" s="21" t="s">
        <v>36</v>
      </c>
    </row>
    <row r="5" spans="1:15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5" s="15" customFormat="1" ht="12.95" customHeight="1" x14ac:dyDescent="0.2">
      <c r="A6" s="19" t="s">
        <v>1</v>
      </c>
    </row>
    <row r="7" spans="1:15" s="15" customFormat="1" ht="12.95" customHeight="1" x14ac:dyDescent="0.2">
      <c r="A7" s="15" t="s">
        <v>2</v>
      </c>
      <c r="C7" s="42">
        <v>54204.644999999997</v>
      </c>
      <c r="D7" s="25" t="s">
        <v>45</v>
      </c>
    </row>
    <row r="8" spans="1:15" s="15" customFormat="1" ht="12.95" customHeight="1" x14ac:dyDescent="0.2">
      <c r="A8" s="15" t="s">
        <v>3</v>
      </c>
      <c r="C8" s="42">
        <v>0.57347000000000004</v>
      </c>
      <c r="D8" s="25" t="s">
        <v>45</v>
      </c>
    </row>
    <row r="9" spans="1:15" s="15" customFormat="1" ht="12.95" customHeight="1" x14ac:dyDescent="0.2">
      <c r="A9" s="26" t="s">
        <v>31</v>
      </c>
      <c r="B9" s="27">
        <v>21</v>
      </c>
      <c r="C9" s="28" t="str">
        <f>"F"&amp;B9</f>
        <v>F21</v>
      </c>
      <c r="D9" s="29" t="str">
        <f>"G"&amp;B9</f>
        <v>G21</v>
      </c>
    </row>
    <row r="10" spans="1:15" s="15" customFormat="1" ht="12.95" customHeight="1" thickBot="1" x14ac:dyDescent="0.25">
      <c r="C10" s="30" t="s">
        <v>19</v>
      </c>
      <c r="D10" s="30" t="s">
        <v>20</v>
      </c>
    </row>
    <row r="11" spans="1:15" s="15" customFormat="1" ht="12.95" customHeight="1" x14ac:dyDescent="0.2">
      <c r="A11" s="15" t="s">
        <v>15</v>
      </c>
      <c r="C11" s="29">
        <f ca="1">INTERCEPT(INDIRECT($D$9):G992,INDIRECT($C$9):F992)</f>
        <v>-2.615117520711023E-4</v>
      </c>
      <c r="D11" s="18"/>
    </row>
    <row r="12" spans="1:15" s="15" customFormat="1" ht="12.95" customHeight="1" x14ac:dyDescent="0.2">
      <c r="A12" s="15" t="s">
        <v>16</v>
      </c>
      <c r="C12" s="29">
        <f ca="1">SLOPE(INDIRECT($D$9):G992,INDIRECT($C$9):F992)</f>
        <v>-2.6111651131362538E-6</v>
      </c>
      <c r="D12" s="18"/>
      <c r="E12" s="54" t="s">
        <v>54</v>
      </c>
      <c r="F12" s="53" t="s">
        <v>53</v>
      </c>
    </row>
    <row r="13" spans="1:15" s="15" customFormat="1" ht="12.95" customHeight="1" x14ac:dyDescent="0.2">
      <c r="A13" s="15" t="s">
        <v>18</v>
      </c>
      <c r="C13" s="18" t="s">
        <v>13</v>
      </c>
      <c r="E13" s="47" t="s">
        <v>33</v>
      </c>
      <c r="F13" s="49">
        <v>1</v>
      </c>
    </row>
    <row r="14" spans="1:15" s="15" customFormat="1" ht="12.95" customHeight="1" x14ac:dyDescent="0.2">
      <c r="E14" s="47" t="s">
        <v>30</v>
      </c>
      <c r="F14" s="50">
        <f ca="1">NOW()+15018.5+$C$5/24</f>
        <v>60681.69697222222</v>
      </c>
    </row>
    <row r="15" spans="1:15" s="15" customFormat="1" ht="12.95" customHeight="1" x14ac:dyDescent="0.2">
      <c r="A15" s="32" t="s">
        <v>17</v>
      </c>
      <c r="C15" s="33">
        <f ca="1">(C7+C11)+(C8+C12)*INT(MAX(F21:F3533))</f>
        <v>60219.170712588537</v>
      </c>
      <c r="E15" s="47" t="s">
        <v>34</v>
      </c>
      <c r="F15" s="50">
        <f ca="1">ROUND(2*($F$14-$C$7)/$C$8,0)/2+$F$13</f>
        <v>11295.5</v>
      </c>
    </row>
    <row r="16" spans="1:15" s="15" customFormat="1" ht="12.95" customHeight="1" x14ac:dyDescent="0.2">
      <c r="A16" s="19" t="s">
        <v>4</v>
      </c>
      <c r="C16" s="34">
        <f ca="1">+C8+C12</f>
        <v>0.5734673888348869</v>
      </c>
      <c r="E16" s="47" t="s">
        <v>35</v>
      </c>
      <c r="F16" s="50">
        <f ca="1">ROUND(2*($F$14-$C$15)/$C$16,0)/2+$F$13</f>
        <v>807.5</v>
      </c>
    </row>
    <row r="17" spans="1:21" s="15" customFormat="1" ht="12.95" customHeight="1" thickBot="1" x14ac:dyDescent="0.25">
      <c r="A17" s="31" t="s">
        <v>27</v>
      </c>
      <c r="C17" s="15">
        <f>COUNT(C21:C2191)</f>
        <v>4</v>
      </c>
      <c r="E17" s="47" t="s">
        <v>51</v>
      </c>
      <c r="F17" s="52">
        <f ca="1">+$C$15+$C$16*$F$16-15018.5-$C$5/24</f>
        <v>45664.141462406042</v>
      </c>
    </row>
    <row r="18" spans="1:21" s="15" customFormat="1" ht="12.95" customHeight="1" thickTop="1" thickBot="1" x14ac:dyDescent="0.25">
      <c r="A18" s="19" t="s">
        <v>5</v>
      </c>
      <c r="C18" s="35">
        <f ca="1">+C15</f>
        <v>60219.170712588537</v>
      </c>
      <c r="D18" s="46">
        <f ca="1">+C16</f>
        <v>0.5734673888348869</v>
      </c>
      <c r="E18" s="48" t="s">
        <v>52</v>
      </c>
      <c r="F18" s="51">
        <f ca="1">+($C$15+$C$16*$F$16)-($C$16/2)-15018.5-$C$5/24</f>
        <v>45663.854728711623</v>
      </c>
    </row>
    <row r="19" spans="1:21" s="15" customFormat="1" ht="12.95" customHeight="1" thickTop="1" x14ac:dyDescent="0.2">
      <c r="F19" s="36" t="s">
        <v>42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37" t="s">
        <v>37</v>
      </c>
      <c r="I20" s="37" t="s">
        <v>38</v>
      </c>
      <c r="J20" s="37" t="s">
        <v>39</v>
      </c>
      <c r="K20" s="37" t="s">
        <v>40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30" t="s">
        <v>14</v>
      </c>
      <c r="U20" s="39" t="s">
        <v>32</v>
      </c>
    </row>
    <row r="21" spans="1:21" s="15" customFormat="1" ht="12.95" customHeight="1" x14ac:dyDescent="0.2">
      <c r="A21" s="16" t="s">
        <v>45</v>
      </c>
      <c r="C21" s="24">
        <v>54204.644999999997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-2.615117520711023E-4</v>
      </c>
      <c r="Q21" s="40">
        <f>+C21-15018.5</f>
        <v>39186.144999999997</v>
      </c>
    </row>
    <row r="22" spans="1:21" s="15" customFormat="1" ht="12.95" customHeight="1" x14ac:dyDescent="0.2">
      <c r="A22" s="12" t="s">
        <v>46</v>
      </c>
      <c r="B22" s="13" t="s">
        <v>47</v>
      </c>
      <c r="C22" s="14">
        <v>59258.321600000003</v>
      </c>
      <c r="D22" s="55">
        <v>2.3999999999999998E-3</v>
      </c>
      <c r="E22" s="15">
        <f t="shared" ref="E22:E23" si="0">+(C22-C$7)/C$8</f>
        <v>8812.4515667776977</v>
      </c>
      <c r="F22" s="15">
        <f t="shared" ref="F22:F23" si="1">ROUND(2*E22,0)/2</f>
        <v>8812.5</v>
      </c>
      <c r="G22" s="15">
        <f t="shared" ref="G22:G23" si="2">+C22-(C$7+F22*C$8)</f>
        <v>-2.7774999995017424E-2</v>
      </c>
      <c r="K22" s="15">
        <f>+G22</f>
        <v>-2.7774999995017424E-2</v>
      </c>
      <c r="O22" s="15">
        <f t="shared" ref="O22:O23" ca="1" si="3">+C$11+C$12*$F22</f>
        <v>-2.3272404311584338E-2</v>
      </c>
      <c r="Q22" s="40">
        <f t="shared" ref="Q22:Q23" si="4">+C22-15018.5</f>
        <v>44239.821600000003</v>
      </c>
    </row>
    <row r="23" spans="1:21" s="15" customFormat="1" ht="12.95" customHeight="1" x14ac:dyDescent="0.2">
      <c r="A23" s="12" t="s">
        <v>48</v>
      </c>
      <c r="B23" s="13" t="s">
        <v>49</v>
      </c>
      <c r="C23" s="14">
        <v>59451.588199999998</v>
      </c>
      <c r="D23" s="55">
        <v>2.0999999999999999E-3</v>
      </c>
      <c r="E23" s="15">
        <f t="shared" si="0"/>
        <v>9149.4641393621314</v>
      </c>
      <c r="F23" s="15">
        <f t="shared" si="1"/>
        <v>9149.5</v>
      </c>
      <c r="G23" s="15">
        <f t="shared" si="2"/>
        <v>-2.0564999998896383E-2</v>
      </c>
      <c r="K23" s="15">
        <f>+G23</f>
        <v>-2.0564999998896383E-2</v>
      </c>
      <c r="O23" s="15">
        <f t="shared" ca="1" si="3"/>
        <v>-2.4152366954711256E-2</v>
      </c>
      <c r="Q23" s="40">
        <f t="shared" si="4"/>
        <v>44433.088199999998</v>
      </c>
    </row>
    <row r="24" spans="1:21" s="15" customFormat="1" ht="12.95" customHeight="1" x14ac:dyDescent="0.2">
      <c r="A24" s="43" t="s">
        <v>50</v>
      </c>
      <c r="B24" s="44" t="s">
        <v>49</v>
      </c>
      <c r="C24" s="45">
        <v>60219.458099999931</v>
      </c>
      <c r="D24" s="43">
        <v>8.0000000000000004E-4</v>
      </c>
      <c r="E24" s="15">
        <f t="shared" ref="E24" si="5">+(C24-C$7)/C$8</f>
        <v>10488.452926918468</v>
      </c>
      <c r="F24" s="15">
        <f t="shared" ref="F24" si="6">ROUND(2*E24,0)/2</f>
        <v>10488.5</v>
      </c>
      <c r="G24" s="15">
        <f t="shared" ref="G24" si="7">+C24-(C$7+F24*C$8)</f>
        <v>-2.6995000065653585E-2</v>
      </c>
      <c r="K24" s="15">
        <f>+G24</f>
        <v>-2.6995000065653585E-2</v>
      </c>
      <c r="O24" s="15">
        <f t="shared" ref="O24" ca="1" si="8">+C$11+C$12*$F24</f>
        <v>-2.7648717041200699E-2</v>
      </c>
      <c r="Q24" s="40">
        <f t="shared" ref="Q24" si="9">+C24-15018.5</f>
        <v>45200.958099999931</v>
      </c>
    </row>
    <row r="25" spans="1:21" s="15" customFormat="1" ht="12.95" customHeight="1" x14ac:dyDescent="0.2">
      <c r="C25" s="24"/>
      <c r="D25" s="24"/>
      <c r="Q25" s="41"/>
    </row>
    <row r="26" spans="1:21" s="15" customFormat="1" ht="12.95" customHeight="1" x14ac:dyDescent="0.2">
      <c r="C26" s="24"/>
      <c r="D26" s="24"/>
      <c r="Q26" s="41"/>
    </row>
    <row r="27" spans="1:21" s="15" customFormat="1" ht="12.95" customHeight="1" x14ac:dyDescent="0.2">
      <c r="C27" s="24"/>
      <c r="D27" s="24"/>
      <c r="Q27" s="41"/>
    </row>
    <row r="28" spans="1:21" s="15" customFormat="1" ht="12.95" customHeight="1" x14ac:dyDescent="0.2">
      <c r="C28" s="24"/>
      <c r="D28" s="24"/>
      <c r="Q28" s="41"/>
    </row>
    <row r="29" spans="1:21" s="15" customFormat="1" ht="12.95" customHeight="1" x14ac:dyDescent="0.2">
      <c r="C29" s="24"/>
      <c r="D29" s="24"/>
      <c r="Q29" s="41"/>
    </row>
    <row r="30" spans="1:21" s="15" customFormat="1" ht="12.95" customHeight="1" x14ac:dyDescent="0.2">
      <c r="C30" s="24"/>
      <c r="D30" s="24"/>
      <c r="Q30" s="41"/>
    </row>
    <row r="31" spans="1:21" s="15" customFormat="1" ht="12.95" customHeight="1" x14ac:dyDescent="0.2">
      <c r="C31" s="24"/>
      <c r="D31" s="24"/>
      <c r="Q31" s="41"/>
    </row>
    <row r="32" spans="1:21" s="15" customFormat="1" ht="12.95" customHeight="1" x14ac:dyDescent="0.2">
      <c r="C32" s="24"/>
      <c r="D32" s="24"/>
      <c r="Q32" s="41"/>
    </row>
    <row r="33" spans="3:17" s="15" customFormat="1" ht="12.95" customHeight="1" x14ac:dyDescent="0.2">
      <c r="C33" s="24"/>
      <c r="D33" s="24"/>
      <c r="Q33" s="41"/>
    </row>
    <row r="34" spans="3:17" s="15" customFormat="1" ht="12.95" customHeight="1" x14ac:dyDescent="0.2">
      <c r="C34" s="24"/>
      <c r="D34" s="24"/>
    </row>
    <row r="35" spans="3:17" s="15" customFormat="1" ht="12.95" customHeight="1" x14ac:dyDescent="0.2">
      <c r="C35" s="24"/>
      <c r="D35" s="24"/>
    </row>
    <row r="36" spans="3:17" s="15" customFormat="1" ht="12.95" customHeight="1" x14ac:dyDescent="0.2">
      <c r="C36" s="24"/>
      <c r="D36" s="24"/>
    </row>
    <row r="37" spans="3:17" s="15" customFormat="1" ht="12.95" customHeight="1" x14ac:dyDescent="0.2">
      <c r="C37" s="24"/>
      <c r="D37" s="24"/>
    </row>
    <row r="38" spans="3:17" s="15" customFormat="1" ht="12.95" customHeight="1" x14ac:dyDescent="0.2">
      <c r="C38" s="24"/>
      <c r="D38" s="24"/>
    </row>
    <row r="39" spans="3:17" s="15" customFormat="1" ht="12.95" customHeight="1" x14ac:dyDescent="0.2">
      <c r="C39" s="24"/>
      <c r="D39" s="24"/>
    </row>
    <row r="40" spans="3:17" s="15" customFormat="1" ht="12.95" customHeight="1" x14ac:dyDescent="0.2">
      <c r="C40" s="24"/>
      <c r="D40" s="24"/>
    </row>
    <row r="41" spans="3:17" s="15" customFormat="1" ht="12.95" customHeight="1" x14ac:dyDescent="0.2">
      <c r="C41" s="24"/>
      <c r="D41" s="24"/>
    </row>
    <row r="42" spans="3:17" s="15" customFormat="1" ht="12.95" customHeight="1" x14ac:dyDescent="0.2">
      <c r="C42" s="24"/>
      <c r="D42" s="24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2025-01-06T03:43:38Z</dcterms:modified>
</cp:coreProperties>
</file>