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459187-70E3-4671-B5EF-0F94EBD2D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F14" i="1"/>
  <c r="E78" i="1"/>
  <c r="F78" i="1" s="1"/>
  <c r="G78" i="1" s="1"/>
  <c r="K78" i="1" s="1"/>
  <c r="Q78" i="1"/>
  <c r="Q76" i="1"/>
  <c r="E76" i="1"/>
  <c r="F76" i="1" s="1"/>
  <c r="G76" i="1" s="1"/>
  <c r="K76" i="1" s="1"/>
  <c r="E53" i="1"/>
  <c r="F53" i="1" s="1"/>
  <c r="G53" i="1" s="1"/>
  <c r="K53" i="1" s="1"/>
  <c r="E73" i="1"/>
  <c r="F73" i="1" s="1"/>
  <c r="G73" i="1" s="1"/>
  <c r="I73" i="1" s="1"/>
  <c r="D9" i="1"/>
  <c r="C9" i="1"/>
  <c r="E23" i="1"/>
  <c r="F23" i="1" s="1"/>
  <c r="G23" i="1" s="1"/>
  <c r="I23" i="1" s="1"/>
  <c r="E34" i="1"/>
  <c r="E15" i="2" s="1"/>
  <c r="E42" i="1"/>
  <c r="F42" i="1"/>
  <c r="G42" i="1" s="1"/>
  <c r="J42" i="1" s="1"/>
  <c r="E44" i="1"/>
  <c r="F44" i="1"/>
  <c r="G44" i="1" s="1"/>
  <c r="K44" i="1" s="1"/>
  <c r="E50" i="1"/>
  <c r="E27" i="2" s="1"/>
  <c r="E52" i="1"/>
  <c r="F52" i="1" s="1"/>
  <c r="G52" i="1" s="1"/>
  <c r="J52" i="1" s="1"/>
  <c r="E58" i="1"/>
  <c r="F58" i="1" s="1"/>
  <c r="G58" i="1" s="1"/>
  <c r="K58" i="1" s="1"/>
  <c r="E60" i="1"/>
  <c r="E32" i="2" s="1"/>
  <c r="F60" i="1"/>
  <c r="E68" i="1"/>
  <c r="F68" i="1" s="1"/>
  <c r="G68" i="1" s="1"/>
  <c r="K68" i="1" s="1"/>
  <c r="Q77" i="1"/>
  <c r="Q68" i="1"/>
  <c r="Q57" i="1"/>
  <c r="Q52" i="1"/>
  <c r="Q49" i="1"/>
  <c r="Q29" i="1"/>
  <c r="Q28" i="1"/>
  <c r="Q27" i="1"/>
  <c r="Q25" i="1"/>
  <c r="Q24" i="1"/>
  <c r="Q23" i="1"/>
  <c r="Q22" i="1"/>
  <c r="Q21" i="1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G38" i="2"/>
  <c r="C38" i="2"/>
  <c r="G59" i="2"/>
  <c r="C59" i="2"/>
  <c r="E59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58" i="2"/>
  <c r="C58" i="2"/>
  <c r="G30" i="2"/>
  <c r="C30" i="2"/>
  <c r="G29" i="2"/>
  <c r="C29" i="2"/>
  <c r="G57" i="2"/>
  <c r="C57" i="2"/>
  <c r="E57" i="2"/>
  <c r="G56" i="2"/>
  <c r="C56" i="2"/>
  <c r="E56" i="2"/>
  <c r="G55" i="2"/>
  <c r="C55" i="2"/>
  <c r="E55" i="2"/>
  <c r="G28" i="2"/>
  <c r="C28" i="2"/>
  <c r="G27" i="2"/>
  <c r="C27" i="2"/>
  <c r="G54" i="2"/>
  <c r="C54" i="2"/>
  <c r="G26" i="2"/>
  <c r="C26" i="2"/>
  <c r="G53" i="2"/>
  <c r="C53" i="2"/>
  <c r="E53" i="2"/>
  <c r="G25" i="2"/>
  <c r="C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59" i="2"/>
  <c r="B59" i="2"/>
  <c r="D59" i="2"/>
  <c r="A59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58" i="2"/>
  <c r="B58" i="2"/>
  <c r="D58" i="2"/>
  <c r="A58" i="2"/>
  <c r="H30" i="2"/>
  <c r="B30" i="2"/>
  <c r="D30" i="2"/>
  <c r="A30" i="2"/>
  <c r="H29" i="2"/>
  <c r="B29" i="2"/>
  <c r="D29" i="2"/>
  <c r="A29" i="2"/>
  <c r="H57" i="2"/>
  <c r="B57" i="2"/>
  <c r="D57" i="2"/>
  <c r="A57" i="2"/>
  <c r="H56" i="2"/>
  <c r="B56" i="2"/>
  <c r="D56" i="2"/>
  <c r="A56" i="2"/>
  <c r="H55" i="2"/>
  <c r="B55" i="2"/>
  <c r="D55" i="2"/>
  <c r="A55" i="2"/>
  <c r="H28" i="2"/>
  <c r="B28" i="2"/>
  <c r="D28" i="2"/>
  <c r="A28" i="2"/>
  <c r="H27" i="2"/>
  <c r="B27" i="2"/>
  <c r="D27" i="2"/>
  <c r="A27" i="2"/>
  <c r="H54" i="2"/>
  <c r="B54" i="2"/>
  <c r="D54" i="2"/>
  <c r="A54" i="2"/>
  <c r="H26" i="2"/>
  <c r="B26" i="2"/>
  <c r="D26" i="2"/>
  <c r="A26" i="2"/>
  <c r="H53" i="2"/>
  <c r="B53" i="2"/>
  <c r="D53" i="2"/>
  <c r="A53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73" i="1"/>
  <c r="Q70" i="1"/>
  <c r="Q75" i="1"/>
  <c r="Q30" i="1"/>
  <c r="C17" i="1"/>
  <c r="Q71" i="1"/>
  <c r="Q66" i="1"/>
  <c r="Q54" i="1"/>
  <c r="Q53" i="1"/>
  <c r="Q51" i="1"/>
  <c r="Q50" i="1"/>
  <c r="Q47" i="1"/>
  <c r="Q39" i="1"/>
  <c r="Q41" i="1"/>
  <c r="Q72" i="1"/>
  <c r="Q69" i="1"/>
  <c r="Q65" i="1"/>
  <c r="Q74" i="1"/>
  <c r="Q48" i="1"/>
  <c r="Q55" i="1"/>
  <c r="Q56" i="1"/>
  <c r="Q59" i="1"/>
  <c r="Q60" i="1"/>
  <c r="Q61" i="1"/>
  <c r="Q63" i="1"/>
  <c r="Q64" i="1"/>
  <c r="Q67" i="1"/>
  <c r="Q62" i="1"/>
  <c r="Q58" i="1"/>
  <c r="Q46" i="1"/>
  <c r="Q44" i="1"/>
  <c r="Q45" i="1"/>
  <c r="Q43" i="1"/>
  <c r="Q38" i="1"/>
  <c r="Q40" i="1"/>
  <c r="Q36" i="1"/>
  <c r="Q37" i="1"/>
  <c r="Q34" i="1"/>
  <c r="Q35" i="1"/>
  <c r="Q31" i="1"/>
  <c r="Q32" i="1"/>
  <c r="Q33" i="1"/>
  <c r="Q42" i="1"/>
  <c r="Q26" i="1"/>
  <c r="E64" i="1"/>
  <c r="F64" i="1" s="1"/>
  <c r="G64" i="1" s="1"/>
  <c r="K64" i="1" s="1"/>
  <c r="E55" i="1"/>
  <c r="F55" i="1" s="1"/>
  <c r="G55" i="1" s="1"/>
  <c r="J55" i="1" s="1"/>
  <c r="E47" i="1"/>
  <c r="F47" i="1" s="1"/>
  <c r="G47" i="1" s="1"/>
  <c r="K47" i="1" s="1"/>
  <c r="E39" i="1"/>
  <c r="F39" i="1" s="1"/>
  <c r="G39" i="1" s="1"/>
  <c r="J39" i="1" s="1"/>
  <c r="E27" i="1"/>
  <c r="E50" i="2" s="1"/>
  <c r="E31" i="1"/>
  <c r="F31" i="1" s="1"/>
  <c r="G31" i="1" s="1"/>
  <c r="J31" i="1" s="1"/>
  <c r="E77" i="1"/>
  <c r="F77" i="1"/>
  <c r="G77" i="1" s="1"/>
  <c r="K77" i="1" s="1"/>
  <c r="E65" i="1"/>
  <c r="F65" i="1" s="1"/>
  <c r="E67" i="1"/>
  <c r="F67" i="1" s="1"/>
  <c r="G67" i="1" s="1"/>
  <c r="K67" i="1" s="1"/>
  <c r="E57" i="1"/>
  <c r="E58" i="2" s="1"/>
  <c r="E49" i="1"/>
  <c r="E54" i="2"/>
  <c r="F49" i="1"/>
  <c r="G49" i="1" s="1"/>
  <c r="J49" i="1" s="1"/>
  <c r="E41" i="1"/>
  <c r="F41" i="1" s="1"/>
  <c r="G41" i="1" s="1"/>
  <c r="J41" i="1" s="1"/>
  <c r="E29" i="1"/>
  <c r="F29" i="1" s="1"/>
  <c r="G29" i="1" s="1"/>
  <c r="I29" i="1" s="1"/>
  <c r="E33" i="1"/>
  <c r="E14" i="2" s="1"/>
  <c r="F33" i="1"/>
  <c r="G33" i="1" s="1"/>
  <c r="J33" i="1" s="1"/>
  <c r="E70" i="1"/>
  <c r="E39" i="2" s="1"/>
  <c r="E62" i="1"/>
  <c r="E34" i="2" s="1"/>
  <c r="E54" i="1"/>
  <c r="F54" i="1" s="1"/>
  <c r="G54" i="1" s="1"/>
  <c r="K54" i="1" s="1"/>
  <c r="E46" i="1"/>
  <c r="F46" i="1" s="1"/>
  <c r="G46" i="1" s="1"/>
  <c r="K46" i="1" s="1"/>
  <c r="E38" i="1"/>
  <c r="F38" i="1" s="1"/>
  <c r="G38" i="1" s="1"/>
  <c r="J38" i="1" s="1"/>
  <c r="E25" i="1"/>
  <c r="F25" i="1"/>
  <c r="G25" i="1" s="1"/>
  <c r="I25" i="1" s="1"/>
  <c r="E30" i="1"/>
  <c r="E11" i="2" s="1"/>
  <c r="E75" i="1"/>
  <c r="F75" i="1" s="1"/>
  <c r="G75" i="1" s="1"/>
  <c r="K75" i="1" s="1"/>
  <c r="E63" i="1"/>
  <c r="F63" i="1" s="1"/>
  <c r="E59" i="1"/>
  <c r="E31" i="2" s="1"/>
  <c r="E51" i="1"/>
  <c r="E28" i="2" s="1"/>
  <c r="F51" i="1"/>
  <c r="G51" i="1" s="1"/>
  <c r="K51" i="1" s="1"/>
  <c r="E43" i="1"/>
  <c r="E22" i="2" s="1"/>
  <c r="E35" i="1"/>
  <c r="E16" i="2" s="1"/>
  <c r="E22" i="1"/>
  <c r="E46" i="2" s="1"/>
  <c r="E72" i="1"/>
  <c r="E41" i="2" s="1"/>
  <c r="F72" i="1"/>
  <c r="G72" i="1" s="1"/>
  <c r="J72" i="1" s="1"/>
  <c r="E66" i="1"/>
  <c r="F66" i="1" s="1"/>
  <c r="G66" i="1" s="1"/>
  <c r="K66" i="1" s="1"/>
  <c r="E56" i="1"/>
  <c r="E30" i="2" s="1"/>
  <c r="E48" i="1"/>
  <c r="E26" i="2" s="1"/>
  <c r="E40" i="1"/>
  <c r="E20" i="2" s="1"/>
  <c r="E28" i="1"/>
  <c r="E51" i="2" s="1"/>
  <c r="F28" i="1"/>
  <c r="G28" i="1" s="1"/>
  <c r="I28" i="1" s="1"/>
  <c r="E32" i="1"/>
  <c r="E13" i="2" s="1"/>
  <c r="E69" i="1"/>
  <c r="F69" i="1" s="1"/>
  <c r="G69" i="1" s="1"/>
  <c r="K69" i="1" s="1"/>
  <c r="E61" i="1"/>
  <c r="F61" i="1" s="1"/>
  <c r="G61" i="1" s="1"/>
  <c r="J61" i="1" s="1"/>
  <c r="E45" i="1"/>
  <c r="E24" i="2" s="1"/>
  <c r="F45" i="1"/>
  <c r="G45" i="1" s="1"/>
  <c r="K45" i="1" s="1"/>
  <c r="E37" i="1"/>
  <c r="F37" i="1" s="1"/>
  <c r="G37" i="1" s="1"/>
  <c r="J37" i="1" s="1"/>
  <c r="E24" i="1"/>
  <c r="E48" i="2" s="1"/>
  <c r="E26" i="1"/>
  <c r="F26" i="1"/>
  <c r="G26" i="1" s="1"/>
  <c r="H26" i="1" s="1"/>
  <c r="E74" i="1"/>
  <c r="E43" i="2" s="1"/>
  <c r="E12" i="2"/>
  <c r="E49" i="2"/>
  <c r="E19" i="2"/>
  <c r="E36" i="2"/>
  <c r="E25" i="2"/>
  <c r="G60" i="1"/>
  <c r="J60" i="1" s="1"/>
  <c r="E36" i="1"/>
  <c r="E17" i="2" s="1"/>
  <c r="F36" i="1"/>
  <c r="G36" i="1" s="1"/>
  <c r="J36" i="1" s="1"/>
  <c r="E21" i="1"/>
  <c r="E45" i="2" s="1"/>
  <c r="E71" i="1"/>
  <c r="F71" i="1" s="1"/>
  <c r="G71" i="1" s="1"/>
  <c r="K71" i="1" s="1"/>
  <c r="E35" i="2" l="1"/>
  <c r="F32" i="1"/>
  <c r="G32" i="1" s="1"/>
  <c r="J32" i="1" s="1"/>
  <c r="F48" i="1"/>
  <c r="G48" i="1" s="1"/>
  <c r="J48" i="1" s="1"/>
  <c r="E29" i="2"/>
  <c r="F22" i="1"/>
  <c r="G22" i="1" s="1"/>
  <c r="I22" i="1" s="1"/>
  <c r="F27" i="1"/>
  <c r="G27" i="1" s="1"/>
  <c r="I27" i="1" s="1"/>
  <c r="E42" i="2"/>
  <c r="F34" i="1"/>
  <c r="G34" i="1" s="1"/>
  <c r="J34" i="1" s="1"/>
  <c r="F56" i="1"/>
  <c r="G56" i="1" s="1"/>
  <c r="J56" i="1" s="1"/>
  <c r="E37" i="2"/>
  <c r="F35" i="1"/>
  <c r="G35" i="1" s="1"/>
  <c r="J35" i="1" s="1"/>
  <c r="F50" i="1"/>
  <c r="G50" i="1" s="1"/>
  <c r="K50" i="1" s="1"/>
  <c r="F62" i="1"/>
  <c r="G62" i="1" s="1"/>
  <c r="K62" i="1" s="1"/>
  <c r="F74" i="1"/>
  <c r="G74" i="1" s="1"/>
  <c r="K74" i="1" s="1"/>
  <c r="E33" i="2"/>
  <c r="F40" i="1"/>
  <c r="G40" i="1" s="1"/>
  <c r="J40" i="1" s="1"/>
  <c r="F30" i="1"/>
  <c r="G30" i="1" s="1"/>
  <c r="J30" i="1" s="1"/>
  <c r="E18" i="2"/>
  <c r="E38" i="2"/>
  <c r="F15" i="1"/>
  <c r="E40" i="2"/>
  <c r="F43" i="1"/>
  <c r="G43" i="1" s="1"/>
  <c r="J43" i="1" s="1"/>
  <c r="F59" i="1"/>
  <c r="G59" i="1" s="1"/>
  <c r="J59" i="1" s="1"/>
  <c r="F57" i="1"/>
  <c r="G57" i="1" s="1"/>
  <c r="K57" i="1" s="1"/>
  <c r="E52" i="2"/>
  <c r="F21" i="1"/>
  <c r="G21" i="1" s="1"/>
  <c r="F70" i="1"/>
  <c r="G70" i="1" s="1"/>
  <c r="I70" i="1" s="1"/>
  <c r="F24" i="1"/>
  <c r="G24" i="1" s="1"/>
  <c r="I24" i="1" s="1"/>
  <c r="C12" i="1"/>
  <c r="C11" i="1"/>
  <c r="O79" i="1" l="1"/>
  <c r="O78" i="1"/>
  <c r="O27" i="1"/>
  <c r="O29" i="1"/>
  <c r="O54" i="1"/>
  <c r="O71" i="1"/>
  <c r="O47" i="1"/>
  <c r="O36" i="1"/>
  <c r="O43" i="1"/>
  <c r="O46" i="1"/>
  <c r="O72" i="1"/>
  <c r="O55" i="1"/>
  <c r="O50" i="1"/>
  <c r="O35" i="1"/>
  <c r="O22" i="1"/>
  <c r="O64" i="1"/>
  <c r="O56" i="1"/>
  <c r="O28" i="1"/>
  <c r="O76" i="1"/>
  <c r="O38" i="1"/>
  <c r="O69" i="1"/>
  <c r="O66" i="1"/>
  <c r="O26" i="1"/>
  <c r="O41" i="1"/>
  <c r="O73" i="1"/>
  <c r="O49" i="1"/>
  <c r="O39" i="1"/>
  <c r="O52" i="1"/>
  <c r="O53" i="1"/>
  <c r="O51" i="1"/>
  <c r="O42" i="1"/>
  <c r="O57" i="1"/>
  <c r="O74" i="1"/>
  <c r="O44" i="1"/>
  <c r="O48" i="1"/>
  <c r="O37" i="1"/>
  <c r="O61" i="1"/>
  <c r="C15" i="1"/>
  <c r="O63" i="1"/>
  <c r="O75" i="1"/>
  <c r="O33" i="1"/>
  <c r="O40" i="1"/>
  <c r="O68" i="1"/>
  <c r="O23" i="1"/>
  <c r="O24" i="1"/>
  <c r="O58" i="1"/>
  <c r="O31" i="1"/>
  <c r="O59" i="1"/>
  <c r="O21" i="1"/>
  <c r="O67" i="1"/>
  <c r="O32" i="1"/>
  <c r="O45" i="1"/>
  <c r="O25" i="1"/>
  <c r="O65" i="1"/>
  <c r="O62" i="1"/>
  <c r="O70" i="1"/>
  <c r="O60" i="1"/>
  <c r="O30" i="1"/>
  <c r="O77" i="1"/>
  <c r="O34" i="1"/>
  <c r="C16" i="1"/>
  <c r="D18" i="1" s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<sst xmlns="http://schemas.openxmlformats.org/spreadsheetml/2006/main" count="554" uniqueCount="287">
  <si>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</si>
  <si>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</si>
  <si>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</si>
  <si>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</si>
  <si>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</si>
  <si>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</si>
  <si>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</si>
  <si>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</si>
  <si>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</si>
  <si>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</si>
  <si>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</si>
  <si>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</si>
  <si>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</si>
  <si>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</si>
  <si>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</si>
  <si>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</si>
  <si>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</si>
  <si>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</si>
  <si>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</si>
  <si>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</si>
  <si>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</si>
  <si>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</si>
  <si>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</si>
  <si>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</si>
  <si>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</si>
  <si>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</si>
  <si>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</si>
  <si>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</si>
  <si>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</t>
  </si>
  <si>
    <t>R</t>
  </si>
  <si>
    <t>BBSAG Bull.118</t>
  </si>
  <si>
    <t>B</t>
  </si>
  <si>
    <t>II</t>
  </si>
  <si>
    <t>IBVS 5230</t>
  </si>
  <si>
    <t>IBVS 5434</t>
  </si>
  <si>
    <t>I</t>
  </si>
  <si>
    <t>IBVS 5263</t>
  </si>
  <si>
    <t>IBVS 5027</t>
  </si>
  <si>
    <t>IBVS 4912</t>
  </si>
  <si>
    <t>IBVS 4711</t>
  </si>
  <si>
    <t>IBVS 4562</t>
  </si>
  <si>
    <t>IBVS 4472</t>
  </si>
  <si>
    <t>IBVS 4383</t>
  </si>
  <si>
    <t>IBVS 5602</t>
  </si>
  <si>
    <t>IBVS 5296</t>
  </si>
  <si>
    <t>IBVS 5603</t>
  </si>
  <si>
    <t>IBVS 5543</t>
  </si>
  <si>
    <t>IBVS 5684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</si>
  <si>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</si>
  <si>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</si>
  <si>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</si>
  <si>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</si>
  <si>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</si>
  <si>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</si>
  <si>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</si>
  <si>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5760</t>
  </si>
  <si>
    <t>Start of linear fit &gt;&gt;&gt;&gt;&gt;&gt;&gt;&gt;&gt;&gt;&gt;&gt;&gt;&gt;&gt;&gt;&gt;&gt;&gt;&gt;&gt;</t>
  </si>
  <si>
    <t>OEJV 0074</t>
  </si>
  <si>
    <t>vis</t>
  </si>
  <si>
    <t>OEJV</t>
  </si>
  <si>
    <t>Add cycle</t>
  </si>
  <si>
    <t>Old Cycle</t>
  </si>
  <si>
    <t/>
  </si>
  <si>
    <t>IBVS 5979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</si>
  <si>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</si>
  <si>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</si>
  <si>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</si>
  <si>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</si>
  <si>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</si>
  <si>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</si>
  <si>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</si>
  <si>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</si>
  <si>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</si>
  <si>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</si>
  <si>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</si>
  <si>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</si>
  <si>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2433738.646 </t>
  </si>
  <si>
    <t> 02.04.1951 03:30 </t>
  </si>
  <si>
    <t> -0.001 </t>
  </si>
  <si>
    <t>P </t>
  </si>
  <si>
    <t> W.J.Miller </t>
  </si>
  <si>
    <t> RIA 6.464 </t>
  </si>
  <si>
    <t>2434236.418 </t>
  </si>
  <si>
    <t> 11.08.1952 22:01 </t>
  </si>
  <si>
    <t> -0.004 </t>
  </si>
  <si>
    <t>2434630.405 </t>
  </si>
  <si>
    <t> 09.09.1953 21:43 </t>
  </si>
  <si>
    <t> 0.004 </t>
  </si>
  <si>
    <t>2434841.648 </t>
  </si>
  <si>
    <t> 09.04.1954 03:33 </t>
  </si>
  <si>
    <t> 0.003 </t>
  </si>
  <si>
    <t>2434959.335 </t>
  </si>
  <si>
    <t> 04.08.1954 20:02 </t>
  </si>
  <si>
    <t> 0.008 </t>
  </si>
  <si>
    <t>2437822.437 </t>
  </si>
  <si>
    <t> 06.06.1962 22:29 </t>
  </si>
  <si>
    <t> -0.005 </t>
  </si>
  <si>
    <t>2438172.564 </t>
  </si>
  <si>
    <t> 23.05.1963 01:32 </t>
  </si>
  <si>
    <t>2438289.514 </t>
  </si>
  <si>
    <t> 17.09.1963 00:20 </t>
  </si>
  <si>
    <t> -0.002 </t>
  </si>
  <si>
    <t>2449787.5943 </t>
  </si>
  <si>
    <t> 11.03.1995 02:15 </t>
  </si>
  <si>
    <t> -0.0657 </t>
  </si>
  <si>
    <t>E </t>
  </si>
  <si>
    <t>o</t>
  </si>
  <si>
    <t> W.&amp;J.Moschner </t>
  </si>
  <si>
    <t>BAVM 91 </t>
  </si>
  <si>
    <t>2449799.6564 </t>
  </si>
  <si>
    <t> 23.03.1995 03:45 </t>
  </si>
  <si>
    <t> -0.0642 </t>
  </si>
  <si>
    <t> W.Moschner </t>
  </si>
  <si>
    <t>2449857.3968 </t>
  </si>
  <si>
    <t> 19.05.1995 21:31 </t>
  </si>
  <si>
    <t> -0.0685 </t>
  </si>
  <si>
    <t>2449865.4441 </t>
  </si>
  <si>
    <t> 27.05.1995 22:39 </t>
  </si>
  <si>
    <t> -0.0616 </t>
  </si>
  <si>
    <t>2450158.5502 </t>
  </si>
  <si>
    <t> 16.03.1996 01:12 </t>
  </si>
  <si>
    <t> -0.0648 </t>
  </si>
  <si>
    <t>BAVM 99 </t>
  </si>
  <si>
    <t>2450248.4586 </t>
  </si>
  <si>
    <t> 13.06.1996 23:00 </t>
  </si>
  <si>
    <t> -0.0627 </t>
  </si>
  <si>
    <t> F.Agerer </t>
  </si>
  <si>
    <t>2450346.4006 </t>
  </si>
  <si>
    <t> 19.09.1996 21:36 </t>
  </si>
  <si>
    <t> -0.0675 </t>
  </si>
  <si>
    <t>BAVM 102 </t>
  </si>
  <si>
    <t>2450379.2939 </t>
  </si>
  <si>
    <t> 22.10.1996 19:03 </t>
  </si>
  <si>
    <t> -0.0667 </t>
  </si>
  <si>
    <t>2450593.4582 </t>
  </si>
  <si>
    <t> 24.05.1997 22:59 </t>
  </si>
  <si>
    <t> -0.0696 </t>
  </si>
  <si>
    <t>BAVM 117 </t>
  </si>
  <si>
    <t>2450894.6115 </t>
  </si>
  <si>
    <t> 22.03.1998 02:40 </t>
  </si>
  <si>
    <t> -0.0660 </t>
  </si>
  <si>
    <t>2450949.4325 </t>
  </si>
  <si>
    <t> 15.05.1998 22:22 </t>
  </si>
  <si>
    <t> -0.0659 </t>
  </si>
  <si>
    <t>?</t>
  </si>
  <si>
    <t> R.Diethelm </t>
  </si>
  <si>
    <t> BBS 118 </t>
  </si>
  <si>
    <t>2451299.5501 </t>
  </si>
  <si>
    <t> 01.05.1999 01:12 </t>
  </si>
  <si>
    <t> -0.0714 </t>
  </si>
  <si>
    <t>BAVM 128 </t>
  </si>
  <si>
    <t>2451308.698 </t>
  </si>
  <si>
    <t> 10.05.1999 04:45 </t>
  </si>
  <si>
    <t> -0.060 </t>
  </si>
  <si>
    <t>IBVS 5027 </t>
  </si>
  <si>
    <t>2451312.7094 </t>
  </si>
  <si>
    <t> 14.05.1999 05:01 </t>
  </si>
  <si>
    <t> -0.0691 </t>
  </si>
  <si>
    <t>2451449.3947 </t>
  </si>
  <si>
    <t> 27.09.1999 21:28 </t>
  </si>
  <si>
    <t> -0.0707 </t>
  </si>
  <si>
    <t> J.Safar </t>
  </si>
  <si>
    <t>IBVS 5263 </t>
  </si>
  <si>
    <t>2451677.439 </t>
  </si>
  <si>
    <t> 12.05.2000 22:32 </t>
  </si>
  <si>
    <t> -0.081 </t>
  </si>
  <si>
    <t>V </t>
  </si>
  <si>
    <t> J.Zahajský </t>
  </si>
  <si>
    <t>OEJV 0074 </t>
  </si>
  <si>
    <t>2451678.5454 </t>
  </si>
  <si>
    <t> 14.05.2000 01:05 </t>
  </si>
  <si>
    <t> -0.0715 </t>
  </si>
  <si>
    <t>BAVM 152 </t>
  </si>
  <si>
    <t>2451692.4324 </t>
  </si>
  <si>
    <t> 27.05.2000 22:22 </t>
  </si>
  <si>
    <t> -0.0725 </t>
  </si>
  <si>
    <t> Csizmadia &amp; Sandor </t>
  </si>
  <si>
    <t>IBVS 5045 </t>
  </si>
  <si>
    <t>2451696.45262 </t>
  </si>
  <si>
    <t> 31.05.2000 22:51 </t>
  </si>
  <si>
    <t> -0.07243 </t>
  </si>
  <si>
    <t>C </t>
  </si>
  <si>
    <t> J.Šafár </t>
  </si>
  <si>
    <t>2451699.37580 </t>
  </si>
  <si>
    <t> 03.06.2000 21:01 </t>
  </si>
  <si>
    <t> -0.07304 </t>
  </si>
  <si>
    <t>2451772.4730 </t>
  </si>
  <si>
    <t> 15.08.2000 23:21 </t>
  </si>
  <si>
    <t> -0.0704 </t>
  </si>
  <si>
    <t>2451780.510 </t>
  </si>
  <si>
    <t> 24.08.2000 00:14 </t>
  </si>
  <si>
    <t> -0.074 </t>
  </si>
  <si>
    <t> O.Pejcha </t>
  </si>
  <si>
    <t>2451783.436 </t>
  </si>
  <si>
    <t> 26.08.2000 22:27 </t>
  </si>
  <si>
    <t> -0.072 </t>
  </si>
  <si>
    <t>2451816.3258 </t>
  </si>
  <si>
    <t> 28.09.2000 19:49 </t>
  </si>
  <si>
    <t> -0.0744 </t>
  </si>
  <si>
    <t> K.&amp; M.Rätz </t>
  </si>
  <si>
    <t>2452095.5484 </t>
  </si>
  <si>
    <t> 05.07.2001 01:09 </t>
  </si>
  <si>
    <t> -0.0731 </t>
  </si>
  <si>
    <t>2452106.5125 </t>
  </si>
  <si>
    <t> 16.07.2001 00:18 </t>
  </si>
  <si>
    <t> -0.0732 </t>
  </si>
  <si>
    <t>G</t>
  </si>
  <si>
    <t> SZ.Csizmadia et al. </t>
  </si>
  <si>
    <t>IBVS 5230 </t>
  </si>
  <si>
    <t>2452121.4978 </t>
  </si>
  <si>
    <t> 30.07.2001 23:56 </t>
  </si>
  <si>
    <t> -0.0723 </t>
  </si>
  <si>
    <t>2452136.4824 </t>
  </si>
  <si>
    <t> 14.08.2001 23:34 </t>
  </si>
  <si>
    <t> -0.0721 </t>
  </si>
  <si>
    <t>2452140.509 </t>
  </si>
  <si>
    <t> 19.08.2001 00:12 </t>
  </si>
  <si>
    <t> -0.066 </t>
  </si>
  <si>
    <t>2452765.4568 </t>
  </si>
  <si>
    <t> 05.05.2003 22:57 </t>
  </si>
  <si>
    <t> -0.0766 </t>
  </si>
  <si>
    <t> T.Borkovits et al. </t>
  </si>
  <si>
    <t>IBVS 5434 </t>
  </si>
  <si>
    <t>2453088.8659 </t>
  </si>
  <si>
    <t> 24.03.2004 08:46 </t>
  </si>
  <si>
    <t> -0.1110 </t>
  </si>
  <si>
    <t> S.Dvorak </t>
  </si>
  <si>
    <t>IBVS 5603 </t>
  </si>
  <si>
    <t>2453111.560 </t>
  </si>
  <si>
    <t> 16.04.2004 01:26 </t>
  </si>
  <si>
    <t> -0.076 </t>
  </si>
  <si>
    <t> K.Locher </t>
  </si>
  <si>
    <t> BBS 130 </t>
  </si>
  <si>
    <t>2453155.41077 </t>
  </si>
  <si>
    <t> 29.05.2004 21:51 </t>
  </si>
  <si>
    <t> -0.08220 </t>
  </si>
  <si>
    <t> R.Ehrenberger </t>
  </si>
  <si>
    <t>2453159.7965 </t>
  </si>
  <si>
    <t> 03.06.2004 07:06 </t>
  </si>
  <si>
    <t> -0.0821 </t>
  </si>
  <si>
    <t> R.Nelson </t>
  </si>
  <si>
    <t>IBVS 5602 </t>
  </si>
  <si>
    <t>2453235.4508 </t>
  </si>
  <si>
    <t> 17.08.2004 22:49 </t>
  </si>
  <si>
    <t> -0.0807 </t>
  </si>
  <si>
    <t> I. Biro et al. </t>
  </si>
  <si>
    <t>IBVS 5684 </t>
  </si>
  <si>
    <t>2453253.358 </t>
  </si>
  <si>
    <t> 04.09.2004 20:35 </t>
  </si>
  <si>
    <t> -0.082 </t>
  </si>
  <si>
    <t>OEJV 0003 </t>
  </si>
  <si>
    <t>2453511.38401 </t>
  </si>
  <si>
    <t> 20.05.2005 21:12 </t>
  </si>
  <si>
    <t> -0.07959 </t>
  </si>
  <si>
    <t>2453515.4065 </t>
  </si>
  <si>
    <t> 24.05.2005 21:45 </t>
  </si>
  <si>
    <t> -0.0773 </t>
  </si>
  <si>
    <t>-I</t>
  </si>
  <si>
    <t> Agerer </t>
  </si>
  <si>
    <t>BAVM 178 </t>
  </si>
  <si>
    <t>2453587.403 </t>
  </si>
  <si>
    <t> 04.08.2005 21:40 </t>
  </si>
  <si>
    <t>24285</t>
  </si>
  <si>
    <t> -0.079 </t>
  </si>
  <si>
    <t>2453981.7443 </t>
  </si>
  <si>
    <t> 03.09.2006 05:51 </t>
  </si>
  <si>
    <t>24824.5</t>
  </si>
  <si>
    <t> -0.0830 </t>
  </si>
  <si>
    <t> R. Nelson </t>
  </si>
  <si>
    <t>IBVS 5760 </t>
  </si>
  <si>
    <t>2455358.4775 </t>
  </si>
  <si>
    <t> 10.06.2010 23:27 </t>
  </si>
  <si>
    <t>26708</t>
  </si>
  <si>
    <t> -0.0863 </t>
  </si>
  <si>
    <t>ns</t>
  </si>
  <si>
    <t>IBVS 5979 </t>
  </si>
  <si>
    <t>BAD?</t>
  </si>
  <si>
    <t>OEJV 0211</t>
  </si>
  <si>
    <t>JAAVSO, 50, 255</t>
  </si>
  <si>
    <t>V0404 Lyr / gsc 3121-1291</t>
  </si>
  <si>
    <t>JAAVSO, 52, 243</t>
  </si>
  <si>
    <t>Next ToM-P</t>
  </si>
  <si>
    <t>Next ToM-S</t>
  </si>
  <si>
    <t>12.20-13.00</t>
  </si>
  <si>
    <t>Mag p</t>
  </si>
  <si>
    <t>VSX</t>
  </si>
  <si>
    <t>EA + GDOR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</si>
</sst>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8" fillId="0" borderId="0" xfId="0" applyFont="1" applyAlignment="1"/>
    <xf numFmtId="0" fontId="5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horizontal="left"/>
      <protection locked="0"/>
    </xf>
    <xf numFmtId="0" fontId="0" fillId="0" borderId="18" xfId="0" applyBorder="1">
      <alignment vertical="top"/>
    </xf>
    <xf numFmtId="0" fontId="11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22" fontId="11" fillId="0" borderId="22" xfId="0" applyNumberFormat="1" applyFont="1" applyBorder="1" applyAlignment="1">
      <alignment horizontal="right" vertical="center"/>
    </xf>
    <xf numFmtId="22" fontId="11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6" fillId="0" borderId="0" xfId="0" applyFont="1" applyAlignment="1"/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Lyr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69252958613219"/>
          <c:w val="0.8185975609756097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5">
                  <c:v>1.3665000005858019E-2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C-46E6-B33E-409B64BB9A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4.0750000043772161E-3</c:v>
                </c:pt>
                <c:pt idx="1">
                  <c:v>3.8920000006328337E-3</c:v>
                </c:pt>
                <c:pt idx="2">
                  <c:v>1.2614999999641441E-2</c:v>
                </c:pt>
                <c:pt idx="3">
                  <c:v>1.3088000006973743E-2</c:v>
                </c:pt>
                <c:pt idx="4">
                  <c:v>1.8264999998791609E-2</c:v>
                </c:pt>
                <c:pt idx="6">
                  <c:v>1.6534000002138782E-2</c:v>
                </c:pt>
                <c:pt idx="7">
                  <c:v>2.1837000000232365E-2</c:v>
                </c:pt>
                <c:pt idx="8">
                  <c:v>2.095700000791112E-2</c:v>
                </c:pt>
                <c:pt idx="49">
                  <c:v>-1.3899999612476677E-4</c:v>
                </c:pt>
                <c:pt idx="52">
                  <c:v>3.9099999994505197E-3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C-46E6-B33E-409B64BB9A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">
                  <c:v>2.3954999996931292E-3</c:v>
                </c:pt>
                <c:pt idx="10">
                  <c:v>3.9360000009764917E-3</c:v>
                </c:pt>
                <c:pt idx="11">
                  <c:v>-1.6099999629659578E-4</c:v>
                </c:pt>
                <c:pt idx="12">
                  <c:v>6.7660000058822334E-3</c:v>
                </c:pt>
                <c:pt idx="13">
                  <c:v>4.7229999981936999E-3</c:v>
                </c:pt>
                <c:pt idx="14">
                  <c:v>7.1339999994961545E-3</c:v>
                </c:pt>
                <c:pt idx="15">
                  <c:v>2.771999999822583E-3</c:v>
                </c:pt>
                <c:pt idx="16">
                  <c:v>3.6370000016177073E-3</c:v>
                </c:pt>
                <c:pt idx="17">
                  <c:v>1.6380000015487894E-3</c:v>
                </c:pt>
                <c:pt idx="18">
                  <c:v>1.6380000015487894E-3</c:v>
                </c:pt>
                <c:pt idx="19">
                  <c:v>6.4220000058412552E-3</c:v>
                </c:pt>
                <c:pt idx="20">
                  <c:v>6.4220000058412552E-3</c:v>
                </c:pt>
                <c:pt idx="21">
                  <c:v>6.6970000043511391E-3</c:v>
                </c:pt>
                <c:pt idx="22">
                  <c:v>2.599999999802094E-3</c:v>
                </c:pt>
                <c:pt idx="27">
                  <c:v>3.9545000036014244E-3</c:v>
                </c:pt>
                <c:pt idx="28">
                  <c:v>3.0374999987543561E-3</c:v>
                </c:pt>
                <c:pt idx="31">
                  <c:v>5.3790000019944273E-3</c:v>
                </c:pt>
                <c:pt idx="34">
                  <c:v>1.5990000028978102E-3</c:v>
                </c:pt>
                <c:pt idx="35">
                  <c:v>3.9729999989503995E-3</c:v>
                </c:pt>
                <c:pt idx="38">
                  <c:v>4.8965000023599714E-3</c:v>
                </c:pt>
                <c:pt idx="39">
                  <c:v>5.1650000023073517E-3</c:v>
                </c:pt>
                <c:pt idx="40">
                  <c:v>1.1578500001633074E-2</c:v>
                </c:pt>
                <c:pt idx="51">
                  <c:v>5.2954999991925433E-3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C-46E6-B33E-409B64BB9A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1.3712499996472616E-2</c:v>
                </c:pt>
                <c:pt idx="24">
                  <c:v>4.9260000014328398E-3</c:v>
                </c:pt>
                <c:pt idx="25">
                  <c:v>3.8849999982630834E-3</c:v>
                </c:pt>
                <c:pt idx="26">
                  <c:v>-5.1309999980730936E-3</c:v>
                </c:pt>
                <c:pt idx="29">
                  <c:v>3.0709999991813675E-3</c:v>
                </c:pt>
                <c:pt idx="30">
                  <c:v>2.4790000024950132E-3</c:v>
                </c:pt>
                <c:pt idx="32">
                  <c:v>2.9060000015306287E-3</c:v>
                </c:pt>
                <c:pt idx="33">
                  <c:v>4.7340000091935508E-3</c:v>
                </c:pt>
                <c:pt idx="36">
                  <c:v>3.9279999982682057E-3</c:v>
                </c:pt>
                <c:pt idx="37">
                  <c:v>3.9580000011483207E-3</c:v>
                </c:pt>
                <c:pt idx="41">
                  <c:v>3.1135000026552007E-3</c:v>
                </c:pt>
                <c:pt idx="43">
                  <c:v>4.8030000034486875E-3</c:v>
                </c:pt>
                <c:pt idx="45">
                  <c:v>-1.0069999916595407E-3</c:v>
                </c:pt>
                <c:pt idx="46">
                  <c:v>-9.6499999926891178E-4</c:v>
                </c:pt>
                <c:pt idx="47">
                  <c:v>-9.3500000366475433E-4</c:v>
                </c:pt>
                <c:pt idx="48">
                  <c:v>7.6450000051409006E-4</c:v>
                </c:pt>
                <c:pt idx="50">
                  <c:v>2.9920000015408732E-3</c:v>
                </c:pt>
                <c:pt idx="53">
                  <c:v>1.4615000036428683E-3</c:v>
                </c:pt>
                <c:pt idx="54">
                  <c:v>3.5210000060033053E-3</c:v>
                </c:pt>
                <c:pt idx="55">
                  <c:v>1.6449998001917265E-3</c:v>
                </c:pt>
                <c:pt idx="56">
                  <c:v>-1.6455000004498288E-3</c:v>
                </c:pt>
                <c:pt idx="57">
                  <c:v>1.8690000069909729E-3</c:v>
                </c:pt>
                <c:pt idx="58">
                  <c:v>8.882000001904089E-3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6C-46E6-B33E-409B64BB9A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6C-46E6-B33E-409B64BB9A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6C-46E6-B33E-409B64BB9A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6C-46E6-B33E-409B64BB9A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1.3753292828026221E-2</c:v>
                </c:pt>
                <c:pt idx="1">
                  <c:v>1.3486317600083514E-2</c:v>
                </c:pt>
                <c:pt idx="2">
                  <c:v>1.3275011215559107E-2</c:v>
                </c:pt>
                <c:pt idx="3">
                  <c:v>1.3161713358179603E-2</c:v>
                </c:pt>
                <c:pt idx="4">
                  <c:v>1.3098595866698287E-2</c:v>
                </c:pt>
                <c:pt idx="5">
                  <c:v>1.2628154936402763E-2</c:v>
                </c:pt>
                <c:pt idx="6">
                  <c:v>1.1562998263391987E-2</c:v>
                </c:pt>
                <c:pt idx="7">
                  <c:v>1.1375213925382356E-2</c:v>
                </c:pt>
                <c:pt idx="8">
                  <c:v>1.131248846800962E-2</c:v>
                </c:pt>
                <c:pt idx="9">
                  <c:v>5.1455959229981946E-3</c:v>
                </c:pt>
                <c:pt idx="10">
                  <c:v>5.1391273602066304E-3</c:v>
                </c:pt>
                <c:pt idx="11">
                  <c:v>5.108156665628842E-3</c:v>
                </c:pt>
                <c:pt idx="12">
                  <c:v>5.1038442904344661E-3</c:v>
                </c:pt>
                <c:pt idx="13">
                  <c:v>4.946638612894046E-3</c:v>
                </c:pt>
                <c:pt idx="14">
                  <c:v>4.8984184175387552E-3</c:v>
                </c:pt>
                <c:pt idx="15">
                  <c:v>4.8458858469890885E-3</c:v>
                </c:pt>
                <c:pt idx="16">
                  <c:v>4.8282443121030064E-3</c:v>
                </c:pt>
                <c:pt idx="17">
                  <c:v>4.713378318289183E-3</c:v>
                </c:pt>
                <c:pt idx="18">
                  <c:v>4.713378318289183E-3</c:v>
                </c:pt>
                <c:pt idx="19">
                  <c:v>4.5518602655543871E-3</c:v>
                </c:pt>
                <c:pt idx="20">
                  <c:v>4.5518602655543871E-3</c:v>
                </c:pt>
                <c:pt idx="21">
                  <c:v>4.5224577074109169E-3</c:v>
                </c:pt>
                <c:pt idx="22">
                  <c:v>4.334673369401288E-3</c:v>
                </c:pt>
                <c:pt idx="23">
                  <c:v>4.329772943044043E-3</c:v>
                </c:pt>
                <c:pt idx="24">
                  <c:v>4.3276167554468547E-3</c:v>
                </c:pt>
                <c:pt idx="25">
                  <c:v>4.2543063771424694E-3</c:v>
                </c:pt>
                <c:pt idx="26">
                  <c:v>4.1319917352656329E-3</c:v>
                </c:pt>
                <c:pt idx="27">
                  <c:v>4.1314036841027637E-3</c:v>
                </c:pt>
                <c:pt idx="28">
                  <c:v>4.1239550360397514E-3</c:v>
                </c:pt>
                <c:pt idx="29">
                  <c:v>4.1217988484425639E-3</c:v>
                </c:pt>
                <c:pt idx="30">
                  <c:v>4.1202307120082448E-3</c:v>
                </c:pt>
                <c:pt idx="31">
                  <c:v>4.0810273011502854E-3</c:v>
                </c:pt>
                <c:pt idx="32">
                  <c:v>4.0767149259559095E-3</c:v>
                </c:pt>
                <c:pt idx="33">
                  <c:v>4.0751467895215913E-3</c:v>
                </c:pt>
                <c:pt idx="34">
                  <c:v>4.0575052546355092E-3</c:v>
                </c:pt>
                <c:pt idx="35">
                  <c:v>3.9077482251581013E-3</c:v>
                </c:pt>
                <c:pt idx="36">
                  <c:v>3.9018677135294073E-3</c:v>
                </c:pt>
                <c:pt idx="37">
                  <c:v>3.9018677135294073E-3</c:v>
                </c:pt>
                <c:pt idx="38">
                  <c:v>3.8938310143035253E-3</c:v>
                </c:pt>
                <c:pt idx="39">
                  <c:v>3.8857943150776434E-3</c:v>
                </c:pt>
                <c:pt idx="40">
                  <c:v>3.8836381274804559E-3</c:v>
                </c:pt>
                <c:pt idx="41">
                  <c:v>3.5484489646448961E-3</c:v>
                </c:pt>
                <c:pt idx="42">
                  <c:v>3.3749738715984222E-3</c:v>
                </c:pt>
                <c:pt idx="43">
                  <c:v>3.3628208142324548E-3</c:v>
                </c:pt>
                <c:pt idx="44">
                  <c:v>3.344591228183503E-3</c:v>
                </c:pt>
                <c:pt idx="45">
                  <c:v>3.3392987677176786E-3</c:v>
                </c:pt>
                <c:pt idx="46">
                  <c:v>3.3369465630662008E-3</c:v>
                </c:pt>
                <c:pt idx="47">
                  <c:v>3.3369465630662008E-3</c:v>
                </c:pt>
                <c:pt idx="48">
                  <c:v>3.2963710328282121E-3</c:v>
                </c:pt>
                <c:pt idx="49">
                  <c:v>3.2867661971680119E-3</c:v>
                </c:pt>
                <c:pt idx="50">
                  <c:v>3.1483781568394124E-3</c:v>
                </c:pt>
                <c:pt idx="51">
                  <c:v>3.1462219692422245E-3</c:v>
                </c:pt>
                <c:pt idx="52">
                  <c:v>3.1076066095471339E-3</c:v>
                </c:pt>
                <c:pt idx="53">
                  <c:v>2.8961042079684385E-3</c:v>
                </c:pt>
                <c:pt idx="54">
                  <c:v>2.1577079644587585E-3</c:v>
                </c:pt>
                <c:pt idx="55">
                  <c:v>9.337774774732415E-4</c:v>
                </c:pt>
                <c:pt idx="56">
                  <c:v>7.9911376117614832E-4</c:v>
                </c:pt>
                <c:pt idx="57">
                  <c:v>-1.8038345910998711E-4</c:v>
                </c:pt>
                <c:pt idx="58">
                  <c:v>-6.1514928552476545E-4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6C-46E6-B33E-409B64BB9A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-0.11099755000759615</c:v>
                </c:pt>
                <c:pt idx="44">
                  <c:v>-0.13900092500261962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6C-46E6-B33E-409B64BB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52760"/>
        <c:axId val="1"/>
      </c:scatterChart>
      <c:valAx>
        <c:axId val="748452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5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78048780487804"/>
          <c:y val="0.92000129214617399"/>
          <c:w val="0.7545731707317071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Lyr - O-C Diagr.</a:t>
            </a:r>
          </a:p>
        </c:rich>
      </c:tx>
      <c:layout>
        <c:manualLayout>
          <c:xMode val="edge"/>
          <c:yMode val="edge"/>
          <c:x val="0.375951773151643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5404107591572"/>
          <c:y val="0.11451942740286299"/>
          <c:w val="0.85236048690260746"/>
          <c:h val="0.732106339468302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5">
                  <c:v>1.3665000005858019E-2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0-40F5-90A9-365E2089E9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4.0750000043772161E-3</c:v>
                </c:pt>
                <c:pt idx="1">
                  <c:v>3.8920000006328337E-3</c:v>
                </c:pt>
                <c:pt idx="2">
                  <c:v>1.2614999999641441E-2</c:v>
                </c:pt>
                <c:pt idx="3">
                  <c:v>1.3088000006973743E-2</c:v>
                </c:pt>
                <c:pt idx="4">
                  <c:v>1.8264999998791609E-2</c:v>
                </c:pt>
                <c:pt idx="6">
                  <c:v>1.6534000002138782E-2</c:v>
                </c:pt>
                <c:pt idx="7">
                  <c:v>2.1837000000232365E-2</c:v>
                </c:pt>
                <c:pt idx="8">
                  <c:v>2.095700000791112E-2</c:v>
                </c:pt>
                <c:pt idx="49">
                  <c:v>-1.3899999612476677E-4</c:v>
                </c:pt>
                <c:pt idx="52">
                  <c:v>3.9099999994505197E-3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60-40F5-90A9-365E2089E9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">
                  <c:v>2.3954999996931292E-3</c:v>
                </c:pt>
                <c:pt idx="10">
                  <c:v>3.9360000009764917E-3</c:v>
                </c:pt>
                <c:pt idx="11">
                  <c:v>-1.6099999629659578E-4</c:v>
                </c:pt>
                <c:pt idx="12">
                  <c:v>6.7660000058822334E-3</c:v>
                </c:pt>
                <c:pt idx="13">
                  <c:v>4.7229999981936999E-3</c:v>
                </c:pt>
                <c:pt idx="14">
                  <c:v>7.1339999994961545E-3</c:v>
                </c:pt>
                <c:pt idx="15">
                  <c:v>2.771999999822583E-3</c:v>
                </c:pt>
                <c:pt idx="16">
                  <c:v>3.6370000016177073E-3</c:v>
                </c:pt>
                <c:pt idx="17">
                  <c:v>1.6380000015487894E-3</c:v>
                </c:pt>
                <c:pt idx="18">
                  <c:v>1.6380000015487894E-3</c:v>
                </c:pt>
                <c:pt idx="19">
                  <c:v>6.4220000058412552E-3</c:v>
                </c:pt>
                <c:pt idx="20">
                  <c:v>6.4220000058412552E-3</c:v>
                </c:pt>
                <c:pt idx="21">
                  <c:v>6.6970000043511391E-3</c:v>
                </c:pt>
                <c:pt idx="22">
                  <c:v>2.599999999802094E-3</c:v>
                </c:pt>
                <c:pt idx="27">
                  <c:v>3.9545000036014244E-3</c:v>
                </c:pt>
                <c:pt idx="28">
                  <c:v>3.0374999987543561E-3</c:v>
                </c:pt>
                <c:pt idx="31">
                  <c:v>5.3790000019944273E-3</c:v>
                </c:pt>
                <c:pt idx="34">
                  <c:v>1.5990000028978102E-3</c:v>
                </c:pt>
                <c:pt idx="35">
                  <c:v>3.9729999989503995E-3</c:v>
                </c:pt>
                <c:pt idx="38">
                  <c:v>4.8965000023599714E-3</c:v>
                </c:pt>
                <c:pt idx="39">
                  <c:v>5.1650000023073517E-3</c:v>
                </c:pt>
                <c:pt idx="40">
                  <c:v>1.1578500001633074E-2</c:v>
                </c:pt>
                <c:pt idx="51">
                  <c:v>5.2954999991925433E-3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60-40F5-90A9-365E2089E9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1.3712499996472616E-2</c:v>
                </c:pt>
                <c:pt idx="24">
                  <c:v>4.9260000014328398E-3</c:v>
                </c:pt>
                <c:pt idx="25">
                  <c:v>3.8849999982630834E-3</c:v>
                </c:pt>
                <c:pt idx="26">
                  <c:v>-5.1309999980730936E-3</c:v>
                </c:pt>
                <c:pt idx="29">
                  <c:v>3.0709999991813675E-3</c:v>
                </c:pt>
                <c:pt idx="30">
                  <c:v>2.4790000024950132E-3</c:v>
                </c:pt>
                <c:pt idx="32">
                  <c:v>2.9060000015306287E-3</c:v>
                </c:pt>
                <c:pt idx="33">
                  <c:v>4.7340000091935508E-3</c:v>
                </c:pt>
                <c:pt idx="36">
                  <c:v>3.9279999982682057E-3</c:v>
                </c:pt>
                <c:pt idx="37">
                  <c:v>3.9580000011483207E-3</c:v>
                </c:pt>
                <c:pt idx="41">
                  <c:v>3.1135000026552007E-3</c:v>
                </c:pt>
                <c:pt idx="43">
                  <c:v>4.8030000034486875E-3</c:v>
                </c:pt>
                <c:pt idx="45">
                  <c:v>-1.0069999916595407E-3</c:v>
                </c:pt>
                <c:pt idx="46">
                  <c:v>-9.6499999926891178E-4</c:v>
                </c:pt>
                <c:pt idx="47">
                  <c:v>-9.3500000366475433E-4</c:v>
                </c:pt>
                <c:pt idx="48">
                  <c:v>7.6450000051409006E-4</c:v>
                </c:pt>
                <c:pt idx="50">
                  <c:v>2.9920000015408732E-3</c:v>
                </c:pt>
                <c:pt idx="53">
                  <c:v>1.4615000036428683E-3</c:v>
                </c:pt>
                <c:pt idx="54">
                  <c:v>3.5210000060033053E-3</c:v>
                </c:pt>
                <c:pt idx="55">
                  <c:v>1.6449998001917265E-3</c:v>
                </c:pt>
                <c:pt idx="56">
                  <c:v>-1.6455000004498288E-3</c:v>
                </c:pt>
                <c:pt idx="57">
                  <c:v>1.8690000069909729E-3</c:v>
                </c:pt>
                <c:pt idx="58">
                  <c:v>8.882000001904089E-3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60-40F5-90A9-365E2089E9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60-40F5-90A9-365E2089E9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60-40F5-90A9-365E2089E9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60-40F5-90A9-365E2089E9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-29025</c:v>
                </c:pt>
                <c:pt idx="1">
                  <c:v>-28344</c:v>
                </c:pt>
                <c:pt idx="2">
                  <c:v>-27805</c:v>
                </c:pt>
                <c:pt idx="3">
                  <c:v>-27516</c:v>
                </c:pt>
                <c:pt idx="4">
                  <c:v>-27355</c:v>
                </c:pt>
                <c:pt idx="5">
                  <c:v>-26155</c:v>
                </c:pt>
                <c:pt idx="6">
                  <c:v>-23438</c:v>
                </c:pt>
                <c:pt idx="7">
                  <c:v>-22959</c:v>
                </c:pt>
                <c:pt idx="8">
                  <c:v>-22799</c:v>
                </c:pt>
                <c:pt idx="9">
                  <c:v>-7068.5</c:v>
                </c:pt>
                <c:pt idx="10">
                  <c:v>-7052</c:v>
                </c:pt>
                <c:pt idx="11">
                  <c:v>-6973</c:v>
                </c:pt>
                <c:pt idx="12">
                  <c:v>-6962</c:v>
                </c:pt>
                <c:pt idx="13">
                  <c:v>-6561</c:v>
                </c:pt>
                <c:pt idx="14">
                  <c:v>-6438</c:v>
                </c:pt>
                <c:pt idx="15">
                  <c:v>-6304</c:v>
                </c:pt>
                <c:pt idx="16">
                  <c:v>-6259</c:v>
                </c:pt>
                <c:pt idx="17">
                  <c:v>-5966</c:v>
                </c:pt>
                <c:pt idx="18">
                  <c:v>-5966</c:v>
                </c:pt>
                <c:pt idx="19">
                  <c:v>-5554</c:v>
                </c:pt>
                <c:pt idx="20">
                  <c:v>-5554</c:v>
                </c:pt>
                <c:pt idx="21">
                  <c:v>-5479</c:v>
                </c:pt>
                <c:pt idx="22">
                  <c:v>-5000</c:v>
                </c:pt>
                <c:pt idx="23">
                  <c:v>-4987.5</c:v>
                </c:pt>
                <c:pt idx="24">
                  <c:v>-4982</c:v>
                </c:pt>
                <c:pt idx="25">
                  <c:v>-4795</c:v>
                </c:pt>
                <c:pt idx="26">
                  <c:v>-4483</c:v>
                </c:pt>
                <c:pt idx="27">
                  <c:v>-4481.5</c:v>
                </c:pt>
                <c:pt idx="28">
                  <c:v>-4462.5</c:v>
                </c:pt>
                <c:pt idx="29">
                  <c:v>-4457</c:v>
                </c:pt>
                <c:pt idx="30">
                  <c:v>-4453</c:v>
                </c:pt>
                <c:pt idx="31">
                  <c:v>-4353</c:v>
                </c:pt>
                <c:pt idx="32">
                  <c:v>-4342</c:v>
                </c:pt>
                <c:pt idx="33">
                  <c:v>-4338</c:v>
                </c:pt>
                <c:pt idx="34">
                  <c:v>-4293</c:v>
                </c:pt>
                <c:pt idx="35">
                  <c:v>-3911</c:v>
                </c:pt>
                <c:pt idx="36">
                  <c:v>-3896</c:v>
                </c:pt>
                <c:pt idx="37">
                  <c:v>-3896</c:v>
                </c:pt>
                <c:pt idx="38">
                  <c:v>-3875.5</c:v>
                </c:pt>
                <c:pt idx="39">
                  <c:v>-3855</c:v>
                </c:pt>
                <c:pt idx="40">
                  <c:v>-3849.5</c:v>
                </c:pt>
                <c:pt idx="41">
                  <c:v>-2994.5</c:v>
                </c:pt>
                <c:pt idx="42">
                  <c:v>-2552</c:v>
                </c:pt>
                <c:pt idx="43">
                  <c:v>-2521</c:v>
                </c:pt>
                <c:pt idx="44">
                  <c:v>-2474.5</c:v>
                </c:pt>
                <c:pt idx="45">
                  <c:v>-2461</c:v>
                </c:pt>
                <c:pt idx="46">
                  <c:v>-2455</c:v>
                </c:pt>
                <c:pt idx="47">
                  <c:v>-2455</c:v>
                </c:pt>
                <c:pt idx="48">
                  <c:v>-2351.5</c:v>
                </c:pt>
                <c:pt idx="49">
                  <c:v>-2327</c:v>
                </c:pt>
                <c:pt idx="50">
                  <c:v>-1974</c:v>
                </c:pt>
                <c:pt idx="51">
                  <c:v>-1968.5</c:v>
                </c:pt>
                <c:pt idx="52">
                  <c:v>-1870</c:v>
                </c:pt>
                <c:pt idx="53">
                  <c:v>-1330.5</c:v>
                </c:pt>
                <c:pt idx="54">
                  <c:v>553</c:v>
                </c:pt>
                <c:pt idx="55">
                  <c:v>3675</c:v>
                </c:pt>
                <c:pt idx="56">
                  <c:v>4018.5</c:v>
                </c:pt>
                <c:pt idx="57">
                  <c:v>6517</c:v>
                </c:pt>
                <c:pt idx="58">
                  <c:v>7626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1.3753292828026221E-2</c:v>
                </c:pt>
                <c:pt idx="1">
                  <c:v>1.3486317600083514E-2</c:v>
                </c:pt>
                <c:pt idx="2">
                  <c:v>1.3275011215559107E-2</c:v>
                </c:pt>
                <c:pt idx="3">
                  <c:v>1.3161713358179603E-2</c:v>
                </c:pt>
                <c:pt idx="4">
                  <c:v>1.3098595866698287E-2</c:v>
                </c:pt>
                <c:pt idx="5">
                  <c:v>1.2628154936402763E-2</c:v>
                </c:pt>
                <c:pt idx="6">
                  <c:v>1.1562998263391987E-2</c:v>
                </c:pt>
                <c:pt idx="7">
                  <c:v>1.1375213925382356E-2</c:v>
                </c:pt>
                <c:pt idx="8">
                  <c:v>1.131248846800962E-2</c:v>
                </c:pt>
                <c:pt idx="9">
                  <c:v>5.1455959229981946E-3</c:v>
                </c:pt>
                <c:pt idx="10">
                  <c:v>5.1391273602066304E-3</c:v>
                </c:pt>
                <c:pt idx="11">
                  <c:v>5.108156665628842E-3</c:v>
                </c:pt>
                <c:pt idx="12">
                  <c:v>5.1038442904344661E-3</c:v>
                </c:pt>
                <c:pt idx="13">
                  <c:v>4.946638612894046E-3</c:v>
                </c:pt>
                <c:pt idx="14">
                  <c:v>4.8984184175387552E-3</c:v>
                </c:pt>
                <c:pt idx="15">
                  <c:v>4.8458858469890885E-3</c:v>
                </c:pt>
                <c:pt idx="16">
                  <c:v>4.8282443121030064E-3</c:v>
                </c:pt>
                <c:pt idx="17">
                  <c:v>4.713378318289183E-3</c:v>
                </c:pt>
                <c:pt idx="18">
                  <c:v>4.713378318289183E-3</c:v>
                </c:pt>
                <c:pt idx="19">
                  <c:v>4.5518602655543871E-3</c:v>
                </c:pt>
                <c:pt idx="20">
                  <c:v>4.5518602655543871E-3</c:v>
                </c:pt>
                <c:pt idx="21">
                  <c:v>4.5224577074109169E-3</c:v>
                </c:pt>
                <c:pt idx="22">
                  <c:v>4.334673369401288E-3</c:v>
                </c:pt>
                <c:pt idx="23">
                  <c:v>4.329772943044043E-3</c:v>
                </c:pt>
                <c:pt idx="24">
                  <c:v>4.3276167554468547E-3</c:v>
                </c:pt>
                <c:pt idx="25">
                  <c:v>4.2543063771424694E-3</c:v>
                </c:pt>
                <c:pt idx="26">
                  <c:v>4.1319917352656329E-3</c:v>
                </c:pt>
                <c:pt idx="27">
                  <c:v>4.1314036841027637E-3</c:v>
                </c:pt>
                <c:pt idx="28">
                  <c:v>4.1239550360397514E-3</c:v>
                </c:pt>
                <c:pt idx="29">
                  <c:v>4.1217988484425639E-3</c:v>
                </c:pt>
                <c:pt idx="30">
                  <c:v>4.1202307120082448E-3</c:v>
                </c:pt>
                <c:pt idx="31">
                  <c:v>4.0810273011502854E-3</c:v>
                </c:pt>
                <c:pt idx="32">
                  <c:v>4.0767149259559095E-3</c:v>
                </c:pt>
                <c:pt idx="33">
                  <c:v>4.0751467895215913E-3</c:v>
                </c:pt>
                <c:pt idx="34">
                  <c:v>4.0575052546355092E-3</c:v>
                </c:pt>
                <c:pt idx="35">
                  <c:v>3.9077482251581013E-3</c:v>
                </c:pt>
                <c:pt idx="36">
                  <c:v>3.9018677135294073E-3</c:v>
                </c:pt>
                <c:pt idx="37">
                  <c:v>3.9018677135294073E-3</c:v>
                </c:pt>
                <c:pt idx="38">
                  <c:v>3.8938310143035253E-3</c:v>
                </c:pt>
                <c:pt idx="39">
                  <c:v>3.8857943150776434E-3</c:v>
                </c:pt>
                <c:pt idx="40">
                  <c:v>3.8836381274804559E-3</c:v>
                </c:pt>
                <c:pt idx="41">
                  <c:v>3.5484489646448961E-3</c:v>
                </c:pt>
                <c:pt idx="42">
                  <c:v>3.3749738715984222E-3</c:v>
                </c:pt>
                <c:pt idx="43">
                  <c:v>3.3628208142324548E-3</c:v>
                </c:pt>
                <c:pt idx="44">
                  <c:v>3.344591228183503E-3</c:v>
                </c:pt>
                <c:pt idx="45">
                  <c:v>3.3392987677176786E-3</c:v>
                </c:pt>
                <c:pt idx="46">
                  <c:v>3.3369465630662008E-3</c:v>
                </c:pt>
                <c:pt idx="47">
                  <c:v>3.3369465630662008E-3</c:v>
                </c:pt>
                <c:pt idx="48">
                  <c:v>3.2963710328282121E-3</c:v>
                </c:pt>
                <c:pt idx="49">
                  <c:v>3.2867661971680119E-3</c:v>
                </c:pt>
                <c:pt idx="50">
                  <c:v>3.1483781568394124E-3</c:v>
                </c:pt>
                <c:pt idx="51">
                  <c:v>3.1462219692422245E-3</c:v>
                </c:pt>
                <c:pt idx="52">
                  <c:v>3.1076066095471339E-3</c:v>
                </c:pt>
                <c:pt idx="53">
                  <c:v>2.8961042079684385E-3</c:v>
                </c:pt>
                <c:pt idx="54">
                  <c:v>2.1577079644587585E-3</c:v>
                </c:pt>
                <c:pt idx="55">
                  <c:v>9.337774774732415E-4</c:v>
                </c:pt>
                <c:pt idx="56">
                  <c:v>7.9911376117614832E-4</c:v>
                </c:pt>
                <c:pt idx="57">
                  <c:v>-1.8038345910998711E-4</c:v>
                </c:pt>
                <c:pt idx="58">
                  <c:v>-6.1514928552476545E-4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60-40F5-90A9-365E2089E902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74845112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Active!$F$21:$F$992</c15:sqref>
                        </c15:formulaRef>
                      </c:ext>
                    </c:extLst>
                    <c:numCache>
                      <c:formatCode>General</c:formatCode>
                      <c:ptCount val="972"/>
                      <c:pt idx="0">
                        <c:v>-29025</c:v>
                      </c:pt>
                      <c:pt idx="1">
                        <c:v>-28344</c:v>
                      </c:pt>
                      <c:pt idx="2">
                        <c:v>-27805</c:v>
                      </c:pt>
                      <c:pt idx="3">
                        <c:v>-27516</c:v>
                      </c:pt>
                      <c:pt idx="4">
                        <c:v>-27355</c:v>
                      </c:pt>
                      <c:pt idx="5">
                        <c:v>-26155</c:v>
                      </c:pt>
                      <c:pt idx="6">
                        <c:v>-23438</c:v>
                      </c:pt>
                      <c:pt idx="7">
                        <c:v>-22959</c:v>
                      </c:pt>
                      <c:pt idx="8">
                        <c:v>-22799</c:v>
                      </c:pt>
                      <c:pt idx="9">
                        <c:v>-7068.5</c:v>
                      </c:pt>
                      <c:pt idx="10">
                        <c:v>-7052</c:v>
                      </c:pt>
                      <c:pt idx="11">
                        <c:v>-6973</c:v>
                      </c:pt>
                      <c:pt idx="12">
                        <c:v>-6962</c:v>
                      </c:pt>
                      <c:pt idx="13">
                        <c:v>-6561</c:v>
                      </c:pt>
                      <c:pt idx="14">
                        <c:v>-6438</c:v>
                      </c:pt>
                      <c:pt idx="15">
                        <c:v>-6304</c:v>
                      </c:pt>
                      <c:pt idx="16">
                        <c:v>-6259</c:v>
                      </c:pt>
                      <c:pt idx="17">
                        <c:v>-5966</c:v>
                      </c:pt>
                      <c:pt idx="18">
                        <c:v>-5966</c:v>
                      </c:pt>
                      <c:pt idx="19">
                        <c:v>-5554</c:v>
                      </c:pt>
                      <c:pt idx="20">
                        <c:v>-5554</c:v>
                      </c:pt>
                      <c:pt idx="21">
                        <c:v>-5479</c:v>
                      </c:pt>
                      <c:pt idx="22">
                        <c:v>-5000</c:v>
                      </c:pt>
                      <c:pt idx="23">
                        <c:v>-4987.5</c:v>
                      </c:pt>
                      <c:pt idx="24">
                        <c:v>-4982</c:v>
                      </c:pt>
                      <c:pt idx="25">
                        <c:v>-4795</c:v>
                      </c:pt>
                      <c:pt idx="26">
                        <c:v>-4483</c:v>
                      </c:pt>
                      <c:pt idx="27">
                        <c:v>-4481.5</c:v>
                      </c:pt>
                      <c:pt idx="28">
                        <c:v>-4462.5</c:v>
                      </c:pt>
                      <c:pt idx="29">
                        <c:v>-4457</c:v>
                      </c:pt>
                      <c:pt idx="30">
                        <c:v>-4453</c:v>
                      </c:pt>
                      <c:pt idx="31">
                        <c:v>-4353</c:v>
                      </c:pt>
                      <c:pt idx="32">
                        <c:v>-4342</c:v>
                      </c:pt>
                      <c:pt idx="33">
                        <c:v>-4338</c:v>
                      </c:pt>
                      <c:pt idx="34">
                        <c:v>-4293</c:v>
                      </c:pt>
                      <c:pt idx="35">
                        <c:v>-3911</c:v>
                      </c:pt>
                      <c:pt idx="36">
                        <c:v>-3896</c:v>
                      </c:pt>
                      <c:pt idx="37">
                        <c:v>-3896</c:v>
                      </c:pt>
                      <c:pt idx="38">
                        <c:v>-3875.5</c:v>
                      </c:pt>
                      <c:pt idx="39">
                        <c:v>-3855</c:v>
                      </c:pt>
                      <c:pt idx="40">
                        <c:v>-3849.5</c:v>
                      </c:pt>
                      <c:pt idx="41">
                        <c:v>-2994.5</c:v>
                      </c:pt>
                      <c:pt idx="42">
                        <c:v>-2552</c:v>
                      </c:pt>
                      <c:pt idx="43">
                        <c:v>-2521</c:v>
                      </c:pt>
                      <c:pt idx="44">
                        <c:v>-2474.5</c:v>
                      </c:pt>
                      <c:pt idx="45">
                        <c:v>-2461</c:v>
                      </c:pt>
                      <c:pt idx="46">
                        <c:v>-2455</c:v>
                      </c:pt>
                      <c:pt idx="47">
                        <c:v>-2455</c:v>
                      </c:pt>
                      <c:pt idx="48">
                        <c:v>-2351.5</c:v>
                      </c:pt>
                      <c:pt idx="49">
                        <c:v>-2327</c:v>
                      </c:pt>
                      <c:pt idx="50">
                        <c:v>-1974</c:v>
                      </c:pt>
                      <c:pt idx="51">
                        <c:v>-1968.5</c:v>
                      </c:pt>
                      <c:pt idx="52">
                        <c:v>-1870</c:v>
                      </c:pt>
                      <c:pt idx="53">
                        <c:v>-1330.5</c:v>
                      </c:pt>
                      <c:pt idx="54">
                        <c:v>553</c:v>
                      </c:pt>
                      <c:pt idx="55">
                        <c:v>3675</c:v>
                      </c:pt>
                      <c:pt idx="56">
                        <c:v>4018.5</c:v>
                      </c:pt>
                      <c:pt idx="57">
                        <c:v>6517</c:v>
                      </c:pt>
                      <c:pt idx="58">
                        <c:v>7626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Active!$U$21:$U$992</c15:sqref>
                        </c15:formulaRef>
                      </c:ext>
                    </c:extLst>
                    <c:numCache>
                      <c:formatCode>General</c:formatCode>
                      <c:ptCount val="972"/>
                      <c:pt idx="42">
                        <c:v>-0.11099755000759615</c:v>
                      </c:pt>
                      <c:pt idx="44">
                        <c:v>-0.13900092500261962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5060-40F5-90A9-365E2089E902}"/>
                  </c:ext>
                </c:extLst>
              </c15:ser>
            </c15:filteredScatterSeries>
          </c:ext>
        </c:extLst>
      </c:scatterChart>
      <c:valAx>
        <c:axId val="748451120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81358437501248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94266869609334E-2"/>
              <c:y val="0.41513292433537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5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B242DEF-D3BF-1343-9E0A-729CB714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47625</xdr:rowOff>
    </xdr:from>
    <xdr:to>
      <xdr:col>26</xdr:col>
      <xdr:colOff>342900</xdr:colOff>
      <xdr:row>18</xdr:row>
      <xdr:rowOff>76200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020A11EF-E26C-B1D6-8F50-597589F4D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www.konkoly.hu/cgi-bin/IBVS?5027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979" TargetMode="External"/><Relationship Id="rId3" Type="http://schemas.openxmlformats.org/officeDocument/2006/relationships/hyperlink" Target="http://www.bav-astro.de/sfs/BAVM_link.php?BAVMnr=91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045" TargetMode="External"/><Relationship Id="rId25" Type="http://schemas.openxmlformats.org/officeDocument/2006/relationships/hyperlink" Target="http://www.konkoly.hu/cgi-bin/IBVS?5230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760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www.bav-astro.de/sfs/BAVM_link.php?BAVMnr=152" TargetMode="External"/><Relationship Id="rId20" Type="http://schemas.openxmlformats.org/officeDocument/2006/relationships/hyperlink" Target="http://www.konkoly.hu/cgi-bin/IBVS?5045" TargetMode="External"/><Relationship Id="rId29" Type="http://schemas.openxmlformats.org/officeDocument/2006/relationships/hyperlink" Target="http://www.konkoly.hu/cgi-bin/IBVS?5434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602" TargetMode="External"/><Relationship Id="rId37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konkoly.hu/cgi-bin/IBVS?52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603" TargetMode="External"/><Relationship Id="rId35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97"/>
  <sheetViews>
    <sheetView tabSelected="1" workbookViewId="0">
      <pane xSplit="13" ySplit="22" topLeftCell="N6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279</v>
      </c>
    </row>
    <row r="2" spans="1:6">
      <c r="A2" t="s">
        <v>25</v>
      </c>
      <c r="B2" s="10" t="s">
        <v>286</v>
      </c>
    </row>
    <row r="4" spans="1:6" ht="14.25" thickTop="1" thickBot="1">
      <c r="A4" s="7" t="s">
        <v>1</v>
      </c>
      <c r="C4" s="3">
        <v>35836.462</v>
      </c>
      <c r="D4" s="4">
        <v>0.73094585000000001</v>
      </c>
    </row>
    <row r="5" spans="1:6" ht="13.5" thickTop="1">
      <c r="A5" s="21" t="s">
        <v>51</v>
      </c>
      <c r="B5" s="22"/>
      <c r="C5" s="23">
        <v>-9.5</v>
      </c>
      <c r="D5" s="22" t="s">
        <v>52</v>
      </c>
    </row>
    <row r="6" spans="1:6">
      <c r="A6" s="7" t="s">
        <v>2</v>
      </c>
    </row>
    <row r="7" spans="1:6">
      <c r="A7" t="s">
        <v>3</v>
      </c>
      <c r="C7">
        <v>54954.262499999997</v>
      </c>
      <c r="D7" s="94" t="s">
        <v>285</v>
      </c>
    </row>
    <row r="8" spans="1:6">
      <c r="A8" t="s">
        <v>4</v>
      </c>
      <c r="C8">
        <v>0.73094300000000001</v>
      </c>
      <c r="D8" s="94" t="s">
        <v>285</v>
      </c>
    </row>
    <row r="9" spans="1:6">
      <c r="A9" s="39" t="s">
        <v>56</v>
      </c>
      <c r="B9" s="40">
        <v>21</v>
      </c>
      <c r="C9" s="38" t="str">
        <f>"F"&amp;B9</f>
        <v>F21</v>
      </c>
      <c r="D9" s="11" t="str">
        <f>"G"&amp;B9</f>
        <v>G21</v>
      </c>
    </row>
    <row r="10" spans="1:6" ht="13.5" thickBot="1">
      <c r="A10" s="22"/>
      <c r="B10" s="22"/>
      <c r="C10" s="6" t="s">
        <v>21</v>
      </c>
      <c r="D10" s="6" t="s">
        <v>22</v>
      </c>
      <c r="E10" s="22"/>
    </row>
    <row r="11" spans="1:6">
      <c r="A11" s="22" t="s">
        <v>17</v>
      </c>
      <c r="B11" s="22"/>
      <c r="C11" s="37">
        <f ca="1">INTERCEPT(INDIRECT($D$9):G988,INDIRECT($C$9):F988)</f>
        <v>2.3745028265032783E-3</v>
      </c>
      <c r="D11" s="5"/>
      <c r="E11" s="22"/>
    </row>
    <row r="12" spans="1:6">
      <c r="A12" s="22" t="s">
        <v>18</v>
      </c>
      <c r="B12" s="22"/>
      <c r="C12" s="37">
        <f ca="1">SLOPE(INDIRECT($D$9):G988,INDIRECT($C$9):F988)</f>
        <v>-3.9203410857960185E-7</v>
      </c>
      <c r="D12" s="5"/>
      <c r="E12" s="93" t="s">
        <v>284</v>
      </c>
      <c r="F12" s="92" t="s">
        <v>283</v>
      </c>
    </row>
    <row r="13" spans="1:6">
      <c r="A13" s="22" t="s">
        <v>20</v>
      </c>
      <c r="B13" s="22"/>
      <c r="C13" s="5" t="s">
        <v>15</v>
      </c>
      <c r="E13" s="86" t="s">
        <v>60</v>
      </c>
      <c r="F13" s="87">
        <v>1</v>
      </c>
    </row>
    <row r="14" spans="1:6">
      <c r="A14" s="22"/>
      <c r="B14" s="22"/>
      <c r="C14" s="22"/>
      <c r="E14" s="86" t="s">
        <v>53</v>
      </c>
      <c r="F14" s="88">
        <f ca="1">NOW()+15018.5+$C$5/24</f>
        <v>60681.717207291666</v>
      </c>
    </row>
    <row r="15" spans="1:6">
      <c r="A15" s="24" t="s">
        <v>19</v>
      </c>
      <c r="B15" s="22"/>
      <c r="C15" s="25">
        <f ca="1">(C7+C11)+(C8+C12)*INT(MAX(F21:F3529))</f>
        <v>60528.433202850705</v>
      </c>
      <c r="E15" s="86" t="s">
        <v>61</v>
      </c>
      <c r="F15" s="89">
        <f ca="1">ROUND(2*($F$14-$C$7)/$C$8,0)/2+$F$13</f>
        <v>7836.5</v>
      </c>
    </row>
    <row r="16" spans="1:6">
      <c r="A16" s="27" t="s">
        <v>5</v>
      </c>
      <c r="B16" s="22"/>
      <c r="C16" s="28">
        <f ca="1">+C8+C12</f>
        <v>0.73094260796589139</v>
      </c>
      <c r="E16" s="86" t="s">
        <v>54</v>
      </c>
      <c r="F16" s="84">
        <f ca="1">ROUND(2*($F$14-$C$15)/$C$16,0)/2+$F$13</f>
        <v>210.5</v>
      </c>
    </row>
    <row r="17" spans="1:21" ht="13.5" thickBot="1">
      <c r="A17" s="26" t="s">
        <v>49</v>
      </c>
      <c r="B17" s="22"/>
      <c r="C17" s="22">
        <f>COUNT(C21:C2187)</f>
        <v>59</v>
      </c>
      <c r="E17" s="86" t="s">
        <v>281</v>
      </c>
      <c r="F17" s="90">
        <f ca="1">+$C$15+$C$16*$F$16-15018.5-$C$5/24</f>
        <v>45664.192455160861</v>
      </c>
    </row>
    <row r="18" spans="1:21" ht="14.25" thickTop="1" thickBot="1">
      <c r="A18" s="27" t="s">
        <v>6</v>
      </c>
      <c r="B18" s="22"/>
      <c r="C18" s="30">
        <f ca="1">+C15</f>
        <v>60528.433202850705</v>
      </c>
      <c r="D18" s="83">
        <f ca="1">+C16</f>
        <v>0.73094260796589139</v>
      </c>
      <c r="E18" s="85" t="s">
        <v>282</v>
      </c>
      <c r="F18" s="91">
        <f ca="1">+($C$15+$C$16*$F$16)-($C$16/2)-15018.5-$C$5/24</f>
        <v>45663.826983856881</v>
      </c>
    </row>
    <row r="19" spans="1:21" ht="13.5" thickTop="1">
      <c r="E19" s="26"/>
      <c r="F19" s="29"/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72</v>
      </c>
      <c r="I20" s="9" t="s">
        <v>58</v>
      </c>
      <c r="J20" s="9" t="s">
        <v>69</v>
      </c>
      <c r="K20" s="9" t="s">
        <v>67</v>
      </c>
      <c r="L20" s="9" t="s">
        <v>59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  <c r="U20" s="70" t="s">
        <v>276</v>
      </c>
    </row>
    <row r="21" spans="1:21" ht="12.75" customHeight="1">
      <c r="A21" s="67" t="s">
        <v>81</v>
      </c>
      <c r="B21" s="69" t="s">
        <v>35</v>
      </c>
      <c r="C21" s="68">
        <v>33738.646000000001</v>
      </c>
      <c r="D21" s="13"/>
      <c r="E21" s="31">
        <f t="shared" ref="E21:E52" si="0">+(C21-C$7)/C$8</f>
        <v>-29024.994425009878</v>
      </c>
      <c r="F21">
        <f t="shared" ref="F21:F52" si="1">ROUND(2*E21,0)/2</f>
        <v>-29025</v>
      </c>
      <c r="G21">
        <f t="shared" ref="G21:G62" si="2">+C21-(C$7+F21*C$8)</f>
        <v>4.0750000043772161E-3</v>
      </c>
      <c r="I21">
        <f>+G21</f>
        <v>4.0750000043772161E-3</v>
      </c>
      <c r="O21">
        <f t="shared" ref="O21:O52" ca="1" si="3">+C$11+C$12*F21</f>
        <v>1.3753292828026221E-2</v>
      </c>
      <c r="Q21" s="2">
        <f t="shared" ref="Q21:Q52" si="4">+C21-15018.5</f>
        <v>18720.146000000001</v>
      </c>
    </row>
    <row r="22" spans="1:21">
      <c r="A22" s="67" t="s">
        <v>81</v>
      </c>
      <c r="B22" s="69" t="s">
        <v>35</v>
      </c>
      <c r="C22" s="68">
        <v>34236.417999999998</v>
      </c>
      <c r="D22" s="13"/>
      <c r="E22" s="31">
        <f t="shared" si="0"/>
        <v>-28343.994675371403</v>
      </c>
      <c r="F22">
        <f t="shared" si="1"/>
        <v>-28344</v>
      </c>
      <c r="G22">
        <f t="shared" si="2"/>
        <v>3.8920000006328337E-3</v>
      </c>
      <c r="I22">
        <f>+G22</f>
        <v>3.8920000006328337E-3</v>
      </c>
      <c r="O22">
        <f t="shared" ca="1" si="3"/>
        <v>1.3486317600083514E-2</v>
      </c>
      <c r="Q22" s="2">
        <f t="shared" si="4"/>
        <v>19217.917999999998</v>
      </c>
    </row>
    <row r="23" spans="1:21" s="16" customFormat="1" ht="12.75" customHeight="1">
      <c r="A23" s="67" t="s">
        <v>81</v>
      </c>
      <c r="B23" s="69" t="s">
        <v>35</v>
      </c>
      <c r="C23" s="68">
        <v>34630.404999999999</v>
      </c>
      <c r="D23" s="13"/>
      <c r="E23" s="31">
        <f t="shared" si="0"/>
        <v>-27804.982741472315</v>
      </c>
      <c r="F23">
        <f t="shared" si="1"/>
        <v>-27805</v>
      </c>
      <c r="G23">
        <f t="shared" si="2"/>
        <v>1.2614999999641441E-2</v>
      </c>
      <c r="H23"/>
      <c r="I23">
        <f>+G23</f>
        <v>1.2614999999641441E-2</v>
      </c>
      <c r="J23"/>
      <c r="K23"/>
      <c r="L23"/>
      <c r="M23"/>
      <c r="N23"/>
      <c r="O23">
        <f t="shared" ca="1" si="3"/>
        <v>1.3275011215559107E-2</v>
      </c>
      <c r="P23"/>
      <c r="Q23" s="2">
        <f t="shared" si="4"/>
        <v>19611.904999999999</v>
      </c>
      <c r="R23"/>
      <c r="S23"/>
      <c r="T23"/>
      <c r="U23"/>
    </row>
    <row r="24" spans="1:21" s="16" customFormat="1" ht="12.75" customHeight="1">
      <c r="A24" s="67" t="s">
        <v>81</v>
      </c>
      <c r="B24" s="69" t="s">
        <v>35</v>
      </c>
      <c r="C24" s="68">
        <v>34841.648000000001</v>
      </c>
      <c r="D24" s="13"/>
      <c r="E24" s="31">
        <f t="shared" si="0"/>
        <v>-27515.982094363029</v>
      </c>
      <c r="F24">
        <f t="shared" si="1"/>
        <v>-27516</v>
      </c>
      <c r="G24">
        <f t="shared" si="2"/>
        <v>1.3088000006973743E-2</v>
      </c>
      <c r="H24"/>
      <c r="I24">
        <f>+G24</f>
        <v>1.3088000006973743E-2</v>
      </c>
      <c r="J24"/>
      <c r="K24"/>
      <c r="L24"/>
      <c r="M24"/>
      <c r="N24"/>
      <c r="O24">
        <f t="shared" ca="1" si="3"/>
        <v>1.3161713358179603E-2</v>
      </c>
      <c r="P24"/>
      <c r="Q24" s="2">
        <f t="shared" si="4"/>
        <v>19823.148000000001</v>
      </c>
      <c r="R24"/>
      <c r="S24"/>
      <c r="T24"/>
      <c r="U24"/>
    </row>
    <row r="25" spans="1:21" s="16" customFormat="1" ht="12.75" customHeight="1">
      <c r="A25" s="67" t="s">
        <v>81</v>
      </c>
      <c r="B25" s="69" t="s">
        <v>35</v>
      </c>
      <c r="C25" s="68">
        <v>34959.334999999999</v>
      </c>
      <c r="D25" s="13"/>
      <c r="E25" s="31">
        <f t="shared" si="0"/>
        <v>-27354.975011731418</v>
      </c>
      <c r="F25">
        <f t="shared" si="1"/>
        <v>-27355</v>
      </c>
      <c r="G25">
        <f t="shared" si="2"/>
        <v>1.8264999998791609E-2</v>
      </c>
      <c r="H25"/>
      <c r="I25">
        <f>+G25</f>
        <v>1.8264999998791609E-2</v>
      </c>
      <c r="J25"/>
      <c r="K25"/>
      <c r="L25"/>
      <c r="M25"/>
      <c r="N25"/>
      <c r="O25">
        <f t="shared" ca="1" si="3"/>
        <v>1.3098595866698287E-2</v>
      </c>
      <c r="P25"/>
      <c r="Q25" s="2">
        <f t="shared" si="4"/>
        <v>19940.834999999999</v>
      </c>
      <c r="R25"/>
      <c r="S25"/>
      <c r="T25"/>
      <c r="U25"/>
    </row>
    <row r="26" spans="1:21">
      <c r="A26" t="s">
        <v>13</v>
      </c>
      <c r="C26" s="14">
        <v>35836.462</v>
      </c>
      <c r="D26" s="14" t="s">
        <v>15</v>
      </c>
      <c r="E26">
        <f t="shared" si="0"/>
        <v>-26154.981304971792</v>
      </c>
      <c r="F26">
        <f t="shared" si="1"/>
        <v>-26155</v>
      </c>
      <c r="G26">
        <f t="shared" si="2"/>
        <v>1.3665000005858019E-2</v>
      </c>
      <c r="H26">
        <f>+G26</f>
        <v>1.3665000005858019E-2</v>
      </c>
      <c r="O26">
        <f t="shared" ca="1" si="3"/>
        <v>1.2628154936402763E-2</v>
      </c>
      <c r="Q26" s="2">
        <f t="shared" si="4"/>
        <v>20817.962</v>
      </c>
    </row>
    <row r="27" spans="1:21">
      <c r="A27" s="67" t="s">
        <v>81</v>
      </c>
      <c r="B27" s="69" t="s">
        <v>35</v>
      </c>
      <c r="C27" s="68">
        <v>37822.436999999998</v>
      </c>
      <c r="D27" s="13"/>
      <c r="E27" s="31">
        <f t="shared" si="0"/>
        <v>-23437.977379905136</v>
      </c>
      <c r="F27">
        <f t="shared" si="1"/>
        <v>-23438</v>
      </c>
      <c r="G27">
        <f t="shared" si="2"/>
        <v>1.6534000002138782E-2</v>
      </c>
      <c r="I27">
        <f>+G27</f>
        <v>1.6534000002138782E-2</v>
      </c>
      <c r="O27">
        <f t="shared" ca="1" si="3"/>
        <v>1.1562998263391987E-2</v>
      </c>
      <c r="Q27" s="2">
        <f t="shared" si="4"/>
        <v>22803.936999999998</v>
      </c>
    </row>
    <row r="28" spans="1:21">
      <c r="A28" s="67" t="s">
        <v>81</v>
      </c>
      <c r="B28" s="69" t="s">
        <v>35</v>
      </c>
      <c r="C28" s="68">
        <v>38172.563999999998</v>
      </c>
      <c r="D28" s="13"/>
      <c r="E28" s="31">
        <f t="shared" si="0"/>
        <v>-22958.970124893458</v>
      </c>
      <c r="F28">
        <f t="shared" si="1"/>
        <v>-22959</v>
      </c>
      <c r="G28">
        <f t="shared" si="2"/>
        <v>2.1837000000232365E-2</v>
      </c>
      <c r="I28">
        <f>+G28</f>
        <v>2.1837000000232365E-2</v>
      </c>
      <c r="O28">
        <f t="shared" ca="1" si="3"/>
        <v>1.1375213925382356E-2</v>
      </c>
      <c r="Q28" s="2">
        <f t="shared" si="4"/>
        <v>23154.063999999998</v>
      </c>
    </row>
    <row r="29" spans="1:21">
      <c r="A29" s="67" t="s">
        <v>81</v>
      </c>
      <c r="B29" s="69" t="s">
        <v>35</v>
      </c>
      <c r="C29" s="68">
        <v>38289.514000000003</v>
      </c>
      <c r="D29" s="13"/>
      <c r="E29" s="31">
        <f t="shared" si="0"/>
        <v>-22798.971328817697</v>
      </c>
      <c r="F29">
        <f t="shared" si="1"/>
        <v>-22799</v>
      </c>
      <c r="G29">
        <f t="shared" si="2"/>
        <v>2.095700000791112E-2</v>
      </c>
      <c r="I29">
        <f>+G29</f>
        <v>2.095700000791112E-2</v>
      </c>
      <c r="O29">
        <f t="shared" ca="1" si="3"/>
        <v>1.131248846800962E-2</v>
      </c>
      <c r="Q29" s="2">
        <f t="shared" si="4"/>
        <v>23271.014000000003</v>
      </c>
    </row>
    <row r="30" spans="1:21">
      <c r="A30" s="52" t="s">
        <v>42</v>
      </c>
      <c r="B30" s="53" t="s">
        <v>32</v>
      </c>
      <c r="C30" s="52">
        <v>49787.594299999997</v>
      </c>
      <c r="D30" s="52" t="s">
        <v>62</v>
      </c>
      <c r="E30" s="31">
        <f t="shared" si="0"/>
        <v>-7068.4967227266698</v>
      </c>
      <c r="F30">
        <f t="shared" si="1"/>
        <v>-7068.5</v>
      </c>
      <c r="G30">
        <f t="shared" si="2"/>
        <v>2.3954999996931292E-3</v>
      </c>
      <c r="J30">
        <f t="shared" ref="J30:J43" si="5">+G30</f>
        <v>2.3954999996931292E-3</v>
      </c>
      <c r="O30">
        <f t="shared" ca="1" si="3"/>
        <v>5.1455959229981946E-3</v>
      </c>
      <c r="Q30" s="2">
        <f t="shared" si="4"/>
        <v>34769.094299999997</v>
      </c>
    </row>
    <row r="31" spans="1:21">
      <c r="A31" s="16" t="s">
        <v>42</v>
      </c>
      <c r="B31" s="17"/>
      <c r="C31" s="18">
        <v>49799.6564</v>
      </c>
      <c r="D31" s="19"/>
      <c r="E31" s="16">
        <f t="shared" si="0"/>
        <v>-7051.9946151751874</v>
      </c>
      <c r="F31" s="16">
        <f t="shared" si="1"/>
        <v>-7052</v>
      </c>
      <c r="G31" s="16">
        <f t="shared" si="2"/>
        <v>3.9360000009764917E-3</v>
      </c>
      <c r="H31" s="16"/>
      <c r="I31" s="16"/>
      <c r="J31" s="16">
        <f t="shared" si="5"/>
        <v>3.9360000009764917E-3</v>
      </c>
      <c r="K31" s="16"/>
      <c r="L31" s="16"/>
      <c r="M31" s="16"/>
      <c r="N31" s="16"/>
      <c r="O31" s="16">
        <f t="shared" ca="1" si="3"/>
        <v>5.1391273602066304E-3</v>
      </c>
      <c r="P31" s="16"/>
      <c r="Q31" s="20">
        <f t="shared" si="4"/>
        <v>34781.1564</v>
      </c>
      <c r="R31" s="16"/>
      <c r="S31" s="16"/>
      <c r="T31" s="16"/>
      <c r="U31" s="16"/>
    </row>
    <row r="32" spans="1:21">
      <c r="A32" s="16" t="s">
        <v>42</v>
      </c>
      <c r="B32" s="17"/>
      <c r="C32" s="18">
        <v>49857.396800000002</v>
      </c>
      <c r="D32" s="19"/>
      <c r="E32" s="16">
        <f t="shared" si="0"/>
        <v>-6973.0002202634059</v>
      </c>
      <c r="F32" s="16">
        <f t="shared" si="1"/>
        <v>-6973</v>
      </c>
      <c r="G32" s="16">
        <f t="shared" si="2"/>
        <v>-1.6099999629659578E-4</v>
      </c>
      <c r="H32" s="16"/>
      <c r="I32" s="16"/>
      <c r="J32" s="16">
        <f t="shared" si="5"/>
        <v>-1.6099999629659578E-4</v>
      </c>
      <c r="K32" s="16"/>
      <c r="L32" s="16"/>
      <c r="M32" s="16"/>
      <c r="N32" s="16"/>
      <c r="O32" s="16">
        <f t="shared" ca="1" si="3"/>
        <v>5.108156665628842E-3</v>
      </c>
      <c r="P32" s="16"/>
      <c r="Q32" s="20">
        <f t="shared" si="4"/>
        <v>34838.896800000002</v>
      </c>
      <c r="R32" s="16"/>
      <c r="S32" s="16"/>
      <c r="T32" s="16"/>
      <c r="U32" s="16"/>
    </row>
    <row r="33" spans="1:32">
      <c r="A33" s="16" t="s">
        <v>42</v>
      </c>
      <c r="B33" s="17"/>
      <c r="C33" s="18">
        <v>49865.444100000001</v>
      </c>
      <c r="D33" s="19"/>
      <c r="E33" s="16">
        <f t="shared" si="0"/>
        <v>-6961.99074346426</v>
      </c>
      <c r="F33" s="16">
        <f t="shared" si="1"/>
        <v>-6962</v>
      </c>
      <c r="G33" s="16">
        <f t="shared" si="2"/>
        <v>6.7660000058822334E-3</v>
      </c>
      <c r="H33" s="16"/>
      <c r="I33" s="16"/>
      <c r="J33" s="16">
        <f t="shared" si="5"/>
        <v>6.7660000058822334E-3</v>
      </c>
      <c r="K33" s="16"/>
      <c r="L33" s="16"/>
      <c r="M33" s="16"/>
      <c r="N33" s="16"/>
      <c r="O33" s="16">
        <f t="shared" ca="1" si="3"/>
        <v>5.1038442904344661E-3</v>
      </c>
      <c r="P33" s="16"/>
      <c r="Q33" s="20">
        <f t="shared" si="4"/>
        <v>34846.944100000001</v>
      </c>
      <c r="R33" s="16"/>
      <c r="S33" s="16"/>
      <c r="T33" s="16"/>
      <c r="U33" s="16"/>
    </row>
    <row r="34" spans="1:32" ht="12.75" customHeight="1">
      <c r="A34" t="s">
        <v>41</v>
      </c>
      <c r="B34" s="5"/>
      <c r="C34" s="14">
        <v>50158.550199999998</v>
      </c>
      <c r="D34" s="14"/>
      <c r="E34">
        <f t="shared" si="0"/>
        <v>-6560.9935384838482</v>
      </c>
      <c r="F34">
        <f t="shared" si="1"/>
        <v>-6561</v>
      </c>
      <c r="G34">
        <f t="shared" si="2"/>
        <v>4.7229999981936999E-3</v>
      </c>
      <c r="J34">
        <f t="shared" si="5"/>
        <v>4.7229999981936999E-3</v>
      </c>
      <c r="O34">
        <f t="shared" ca="1" si="3"/>
        <v>4.946638612894046E-3</v>
      </c>
      <c r="Q34" s="2">
        <f t="shared" si="4"/>
        <v>35140.050199999998</v>
      </c>
    </row>
    <row r="35" spans="1:32" ht="12.75" customHeight="1">
      <c r="A35" t="s">
        <v>41</v>
      </c>
      <c r="B35" s="5"/>
      <c r="C35" s="14">
        <v>50248.458599999998</v>
      </c>
      <c r="D35" s="14">
        <v>1E-3</v>
      </c>
      <c r="E35">
        <f t="shared" si="0"/>
        <v>-6437.9902400050332</v>
      </c>
      <c r="F35">
        <f t="shared" si="1"/>
        <v>-6438</v>
      </c>
      <c r="G35">
        <f t="shared" si="2"/>
        <v>7.1339999994961545E-3</v>
      </c>
      <c r="J35">
        <f t="shared" si="5"/>
        <v>7.1339999994961545E-3</v>
      </c>
      <c r="O35">
        <f t="shared" ca="1" si="3"/>
        <v>4.8984184175387552E-3</v>
      </c>
      <c r="Q35" s="2">
        <f t="shared" si="4"/>
        <v>35229.958599999998</v>
      </c>
    </row>
    <row r="36" spans="1:32">
      <c r="A36" t="s">
        <v>40</v>
      </c>
      <c r="B36" s="5" t="s">
        <v>35</v>
      </c>
      <c r="C36" s="15">
        <v>50346.400600000001</v>
      </c>
      <c r="D36" s="15">
        <v>2.0999999999999999E-3</v>
      </c>
      <c r="E36">
        <f t="shared" si="0"/>
        <v>-6303.9962076386209</v>
      </c>
      <c r="F36">
        <f t="shared" si="1"/>
        <v>-6304</v>
      </c>
      <c r="G36">
        <f t="shared" si="2"/>
        <v>2.771999999822583E-3</v>
      </c>
      <c r="J36">
        <f t="shared" si="5"/>
        <v>2.771999999822583E-3</v>
      </c>
      <c r="O36">
        <f t="shared" ca="1" si="3"/>
        <v>4.8458858469890885E-3</v>
      </c>
      <c r="Q36" s="2">
        <f t="shared" si="4"/>
        <v>35327.900600000001</v>
      </c>
    </row>
    <row r="37" spans="1:32">
      <c r="A37" t="s">
        <v>40</v>
      </c>
      <c r="B37" s="5" t="s">
        <v>35</v>
      </c>
      <c r="C37" s="15">
        <v>50379.293899999997</v>
      </c>
      <c r="D37" s="15">
        <v>1.4E-3</v>
      </c>
      <c r="E37">
        <f t="shared" si="0"/>
        <v>-6258.9950242358163</v>
      </c>
      <c r="F37">
        <f t="shared" si="1"/>
        <v>-6259</v>
      </c>
      <c r="G37">
        <f t="shared" si="2"/>
        <v>3.6370000016177073E-3</v>
      </c>
      <c r="J37">
        <f t="shared" si="5"/>
        <v>3.6370000016177073E-3</v>
      </c>
      <c r="O37">
        <f t="shared" ca="1" si="3"/>
        <v>4.8282443121030064E-3</v>
      </c>
      <c r="Q37" s="2">
        <f t="shared" si="4"/>
        <v>35360.793899999997</v>
      </c>
    </row>
    <row r="38" spans="1:32">
      <c r="A38" t="s">
        <v>39</v>
      </c>
      <c r="B38" s="5" t="s">
        <v>35</v>
      </c>
      <c r="C38" s="14">
        <v>50593.458200000001</v>
      </c>
      <c r="D38" s="14">
        <v>1.1000000000000001E-3</v>
      </c>
      <c r="E38">
        <f t="shared" si="0"/>
        <v>-5965.9977590591825</v>
      </c>
      <c r="F38">
        <f t="shared" si="1"/>
        <v>-5966</v>
      </c>
      <c r="G38">
        <f t="shared" si="2"/>
        <v>1.6380000015487894E-3</v>
      </c>
      <c r="J38">
        <f t="shared" si="5"/>
        <v>1.6380000015487894E-3</v>
      </c>
      <c r="O38">
        <f t="shared" ca="1" si="3"/>
        <v>4.713378318289183E-3</v>
      </c>
      <c r="Q38" s="2">
        <f t="shared" si="4"/>
        <v>35574.958200000001</v>
      </c>
    </row>
    <row r="39" spans="1:32">
      <c r="A39" s="33" t="s">
        <v>39</v>
      </c>
      <c r="B39" s="35" t="s">
        <v>35</v>
      </c>
      <c r="C39" s="33">
        <v>50593.458200000001</v>
      </c>
      <c r="D39" s="33">
        <v>1.1000000000000001E-3</v>
      </c>
      <c r="E39" s="31">
        <f t="shared" si="0"/>
        <v>-5965.9977590591825</v>
      </c>
      <c r="F39">
        <f t="shared" si="1"/>
        <v>-5966</v>
      </c>
      <c r="G39">
        <f t="shared" si="2"/>
        <v>1.6380000015487894E-3</v>
      </c>
      <c r="J39">
        <f t="shared" si="5"/>
        <v>1.6380000015487894E-3</v>
      </c>
      <c r="O39">
        <f t="shared" ca="1" si="3"/>
        <v>4.713378318289183E-3</v>
      </c>
      <c r="Q39" s="2">
        <f t="shared" si="4"/>
        <v>35574.958200000001</v>
      </c>
    </row>
    <row r="40" spans="1:32">
      <c r="A40" t="s">
        <v>39</v>
      </c>
      <c r="B40" s="5" t="s">
        <v>35</v>
      </c>
      <c r="C40" s="14">
        <v>50894.611499999999</v>
      </c>
      <c r="D40" s="14">
        <v>6.9999999999999999E-4</v>
      </c>
      <c r="E40">
        <f t="shared" si="0"/>
        <v>-5553.9912140891947</v>
      </c>
      <c r="F40">
        <f t="shared" si="1"/>
        <v>-5554</v>
      </c>
      <c r="G40">
        <f t="shared" si="2"/>
        <v>6.4220000058412552E-3</v>
      </c>
      <c r="J40">
        <f t="shared" si="5"/>
        <v>6.4220000058412552E-3</v>
      </c>
      <c r="O40">
        <f t="shared" ca="1" si="3"/>
        <v>4.5518602655543871E-3</v>
      </c>
      <c r="Q40" s="2">
        <f t="shared" si="4"/>
        <v>35876.111499999999</v>
      </c>
    </row>
    <row r="41" spans="1:32">
      <c r="A41" s="13" t="s">
        <v>39</v>
      </c>
      <c r="B41" s="36" t="s">
        <v>35</v>
      </c>
      <c r="C41" s="13">
        <v>50894.611499999999</v>
      </c>
      <c r="D41" s="13">
        <v>6.9999999999999999E-4</v>
      </c>
      <c r="E41" s="31">
        <f t="shared" si="0"/>
        <v>-5553.9912140891947</v>
      </c>
      <c r="F41">
        <f t="shared" si="1"/>
        <v>-5554</v>
      </c>
      <c r="G41">
        <f t="shared" si="2"/>
        <v>6.4220000058412552E-3</v>
      </c>
      <c r="J41">
        <f t="shared" si="5"/>
        <v>6.4220000058412552E-3</v>
      </c>
      <c r="O41">
        <f t="shared" ca="1" si="3"/>
        <v>4.5518602655543871E-3</v>
      </c>
      <c r="Q41" s="2">
        <f t="shared" si="4"/>
        <v>35876.111499999999</v>
      </c>
    </row>
    <row r="42" spans="1:32">
      <c r="A42" t="s">
        <v>30</v>
      </c>
      <c r="B42" s="5"/>
      <c r="C42" s="14">
        <v>50949.432500000003</v>
      </c>
      <c r="D42" s="14">
        <v>1.1000000000000001E-3</v>
      </c>
      <c r="E42">
        <f t="shared" si="0"/>
        <v>-5478.9908378628625</v>
      </c>
      <c r="F42">
        <f t="shared" si="1"/>
        <v>-5479</v>
      </c>
      <c r="G42">
        <f t="shared" si="2"/>
        <v>6.6970000043511391E-3</v>
      </c>
      <c r="J42">
        <f t="shared" si="5"/>
        <v>6.6970000043511391E-3</v>
      </c>
      <c r="O42">
        <f t="shared" ca="1" si="3"/>
        <v>4.5224577074109169E-3</v>
      </c>
      <c r="Q42" s="2">
        <f t="shared" si="4"/>
        <v>35930.932500000003</v>
      </c>
      <c r="AA42">
        <v>14</v>
      </c>
      <c r="AC42" t="s">
        <v>28</v>
      </c>
      <c r="AD42" t="s">
        <v>29</v>
      </c>
      <c r="AF42" t="s">
        <v>31</v>
      </c>
    </row>
    <row r="43" spans="1:32">
      <c r="A43" s="31" t="s">
        <v>38</v>
      </c>
      <c r="B43" s="32" t="s">
        <v>35</v>
      </c>
      <c r="C43" s="33">
        <v>51299.5501</v>
      </c>
      <c r="D43" s="33">
        <v>6.9999999999999999E-4</v>
      </c>
      <c r="E43" s="31">
        <f t="shared" si="0"/>
        <v>-4999.9964429510874</v>
      </c>
      <c r="F43">
        <f t="shared" si="1"/>
        <v>-5000</v>
      </c>
      <c r="G43">
        <f t="shared" si="2"/>
        <v>2.599999999802094E-3</v>
      </c>
      <c r="J43">
        <f t="shared" si="5"/>
        <v>2.599999999802094E-3</v>
      </c>
      <c r="O43">
        <f t="shared" ca="1" si="3"/>
        <v>4.334673369401288E-3</v>
      </c>
      <c r="Q43" s="2">
        <f t="shared" si="4"/>
        <v>36281.0501</v>
      </c>
    </row>
    <row r="44" spans="1:32">
      <c r="A44" s="31" t="s">
        <v>37</v>
      </c>
      <c r="B44" s="32" t="s">
        <v>32</v>
      </c>
      <c r="C44" s="33">
        <v>51308.697999999997</v>
      </c>
      <c r="D44" s="33">
        <v>4.0000000000000001E-3</v>
      </c>
      <c r="E44" s="31">
        <f t="shared" si="0"/>
        <v>-4987.4812399872499</v>
      </c>
      <c r="F44">
        <f t="shared" si="1"/>
        <v>-4987.5</v>
      </c>
      <c r="G44">
        <f t="shared" si="2"/>
        <v>1.3712499996472616E-2</v>
      </c>
      <c r="K44">
        <f>+G44</f>
        <v>1.3712499996472616E-2</v>
      </c>
      <c r="O44">
        <f t="shared" ca="1" si="3"/>
        <v>4.329772943044043E-3</v>
      </c>
      <c r="Q44" s="2">
        <f t="shared" si="4"/>
        <v>36290.197999999997</v>
      </c>
    </row>
    <row r="45" spans="1:32">
      <c r="A45" s="31" t="s">
        <v>37</v>
      </c>
      <c r="B45" s="32" t="s">
        <v>35</v>
      </c>
      <c r="C45" s="33">
        <v>51312.7094</v>
      </c>
      <c r="D45" s="33">
        <v>1.1999999999999999E-3</v>
      </c>
      <c r="E45" s="31">
        <f t="shared" si="0"/>
        <v>-4981.9932607604114</v>
      </c>
      <c r="F45">
        <f t="shared" si="1"/>
        <v>-4982</v>
      </c>
      <c r="G45">
        <f t="shared" si="2"/>
        <v>4.9260000014328398E-3</v>
      </c>
      <c r="K45">
        <f>+G45</f>
        <v>4.9260000014328398E-3</v>
      </c>
      <c r="O45">
        <f t="shared" ca="1" si="3"/>
        <v>4.3276167554468547E-3</v>
      </c>
      <c r="Q45" s="2">
        <f t="shared" si="4"/>
        <v>36294.2094</v>
      </c>
    </row>
    <row r="46" spans="1:32">
      <c r="A46" s="31" t="s">
        <v>36</v>
      </c>
      <c r="B46" s="32" t="s">
        <v>35</v>
      </c>
      <c r="C46" s="34">
        <v>51449.394699999997</v>
      </c>
      <c r="D46" s="34">
        <v>4.0000000000000001E-3</v>
      </c>
      <c r="E46" s="31">
        <f t="shared" si="0"/>
        <v>-4794.9946849480739</v>
      </c>
      <c r="F46">
        <f t="shared" si="1"/>
        <v>-4795</v>
      </c>
      <c r="G46">
        <f t="shared" si="2"/>
        <v>3.8849999982630834E-3</v>
      </c>
      <c r="K46">
        <f>+G46</f>
        <v>3.8849999982630834E-3</v>
      </c>
      <c r="O46">
        <f t="shared" ca="1" si="3"/>
        <v>4.2543063771424694E-3</v>
      </c>
      <c r="Q46" s="2">
        <f t="shared" si="4"/>
        <v>36430.894699999997</v>
      </c>
    </row>
    <row r="47" spans="1:32">
      <c r="A47" s="13" t="s">
        <v>57</v>
      </c>
      <c r="B47" s="41" t="s">
        <v>35</v>
      </c>
      <c r="C47" s="13">
        <v>51677.439899999998</v>
      </c>
      <c r="D47" s="13" t="s">
        <v>58</v>
      </c>
      <c r="E47" s="31">
        <f t="shared" si="0"/>
        <v>-4483.0070196992101</v>
      </c>
      <c r="F47">
        <f t="shared" si="1"/>
        <v>-4483</v>
      </c>
      <c r="G47">
        <f t="shared" si="2"/>
        <v>-5.1309999980730936E-3</v>
      </c>
      <c r="K47">
        <f>+G47</f>
        <v>-5.1309999980730936E-3</v>
      </c>
      <c r="O47">
        <f t="shared" ca="1" si="3"/>
        <v>4.1319917352656329E-3</v>
      </c>
      <c r="Q47" s="2">
        <f t="shared" si="4"/>
        <v>36658.939899999998</v>
      </c>
    </row>
    <row r="48" spans="1:32">
      <c r="A48" s="42" t="s">
        <v>44</v>
      </c>
      <c r="B48" s="43" t="s">
        <v>32</v>
      </c>
      <c r="C48" s="42">
        <v>51678.545400000003</v>
      </c>
      <c r="D48" s="42">
        <v>6.9999999999999999E-4</v>
      </c>
      <c r="E48" s="31">
        <f t="shared" si="0"/>
        <v>-4481.4945898654123</v>
      </c>
      <c r="F48">
        <f t="shared" si="1"/>
        <v>-4481.5</v>
      </c>
      <c r="G48">
        <f t="shared" si="2"/>
        <v>3.9545000036014244E-3</v>
      </c>
      <c r="J48">
        <f>+G48</f>
        <v>3.9545000036014244E-3</v>
      </c>
      <c r="O48">
        <f t="shared" ca="1" si="3"/>
        <v>4.1314036841027637E-3</v>
      </c>
      <c r="Q48" s="2">
        <f t="shared" si="4"/>
        <v>36660.045400000003</v>
      </c>
    </row>
    <row r="49" spans="1:21">
      <c r="A49" s="67" t="s">
        <v>177</v>
      </c>
      <c r="B49" s="69" t="s">
        <v>32</v>
      </c>
      <c r="C49" s="68">
        <v>51692.432399999998</v>
      </c>
      <c r="D49" s="13"/>
      <c r="E49" s="31">
        <f t="shared" si="0"/>
        <v>-4462.4958444092072</v>
      </c>
      <c r="F49">
        <f t="shared" si="1"/>
        <v>-4462.5</v>
      </c>
      <c r="G49">
        <f t="shared" si="2"/>
        <v>3.0374999987543561E-3</v>
      </c>
      <c r="J49">
        <f>+G49</f>
        <v>3.0374999987543561E-3</v>
      </c>
      <c r="O49">
        <f t="shared" ca="1" si="3"/>
        <v>4.1239550360397514E-3</v>
      </c>
      <c r="Q49" s="2">
        <f t="shared" si="4"/>
        <v>36673.932399999998</v>
      </c>
    </row>
    <row r="50" spans="1:21">
      <c r="A50" s="13" t="s">
        <v>57</v>
      </c>
      <c r="B50" s="41" t="s">
        <v>35</v>
      </c>
      <c r="C50" s="13">
        <v>51696.452619999996</v>
      </c>
      <c r="D50" s="13">
        <v>3.3E-3</v>
      </c>
      <c r="E50" s="31">
        <f t="shared" si="0"/>
        <v>-4456.995798578002</v>
      </c>
      <c r="F50">
        <f t="shared" si="1"/>
        <v>-4457</v>
      </c>
      <c r="G50">
        <f t="shared" si="2"/>
        <v>3.0709999991813675E-3</v>
      </c>
      <c r="K50">
        <f>+G50</f>
        <v>3.0709999991813675E-3</v>
      </c>
      <c r="O50">
        <f t="shared" ca="1" si="3"/>
        <v>4.1217988484425639E-3</v>
      </c>
      <c r="Q50" s="2">
        <f t="shared" si="4"/>
        <v>36677.952619999996</v>
      </c>
    </row>
    <row r="51" spans="1:21">
      <c r="A51" s="13" t="s">
        <v>57</v>
      </c>
      <c r="B51" s="41" t="s">
        <v>35</v>
      </c>
      <c r="C51" s="13">
        <v>51699.375800000002</v>
      </c>
      <c r="D51" s="13">
        <v>2E-3</v>
      </c>
      <c r="E51" s="31">
        <f t="shared" si="0"/>
        <v>-4452.9966084906691</v>
      </c>
      <c r="F51">
        <f t="shared" si="1"/>
        <v>-4453</v>
      </c>
      <c r="G51">
        <f t="shared" si="2"/>
        <v>2.4790000024950132E-3</v>
      </c>
      <c r="K51">
        <f>+G51</f>
        <v>2.4790000024950132E-3</v>
      </c>
      <c r="O51">
        <f t="shared" ca="1" si="3"/>
        <v>4.1202307120082448E-3</v>
      </c>
      <c r="Q51" s="2">
        <f t="shared" si="4"/>
        <v>36680.875800000002</v>
      </c>
    </row>
    <row r="52" spans="1:21">
      <c r="A52" s="67" t="s">
        <v>177</v>
      </c>
      <c r="B52" s="69" t="s">
        <v>35</v>
      </c>
      <c r="C52" s="68">
        <v>51772.472999999998</v>
      </c>
      <c r="D52" s="13"/>
      <c r="E52" s="31">
        <f t="shared" si="0"/>
        <v>-4352.9926410130456</v>
      </c>
      <c r="F52">
        <f t="shared" si="1"/>
        <v>-4353</v>
      </c>
      <c r="G52">
        <f t="shared" si="2"/>
        <v>5.3790000019944273E-3</v>
      </c>
      <c r="J52">
        <f>+G52</f>
        <v>5.3790000019944273E-3</v>
      </c>
      <c r="O52">
        <f t="shared" ca="1" si="3"/>
        <v>4.0810273011502854E-3</v>
      </c>
      <c r="Q52" s="2">
        <f t="shared" si="4"/>
        <v>36753.972999999998</v>
      </c>
    </row>
    <row r="53" spans="1:21">
      <c r="A53" s="13" t="s">
        <v>57</v>
      </c>
      <c r="B53" s="41" t="s">
        <v>35</v>
      </c>
      <c r="C53" s="13">
        <v>51780.510900000001</v>
      </c>
      <c r="D53" s="13" t="s">
        <v>58</v>
      </c>
      <c r="E53" s="31">
        <f t="shared" ref="E53:E78" si="6">+(C53-C$7)/C$8</f>
        <v>-4341.9960243137921</v>
      </c>
      <c r="F53">
        <f t="shared" ref="F53:F78" si="7">ROUND(2*E53,0)/2</f>
        <v>-4342</v>
      </c>
      <c r="G53">
        <f t="shared" si="2"/>
        <v>2.9060000015306287E-3</v>
      </c>
      <c r="K53">
        <f>+G53</f>
        <v>2.9060000015306287E-3</v>
      </c>
      <c r="O53">
        <f t="shared" ref="O53:O78" ca="1" si="8">+C$11+C$12*F53</f>
        <v>4.0767149259559095E-3</v>
      </c>
      <c r="Q53" s="2">
        <f t="shared" ref="Q53:Q78" si="9">+C53-15018.5</f>
        <v>36762.010900000001</v>
      </c>
    </row>
    <row r="54" spans="1:21">
      <c r="A54" s="13" t="s">
        <v>57</v>
      </c>
      <c r="B54" s="41" t="s">
        <v>35</v>
      </c>
      <c r="C54" s="13">
        <v>51783.436500000003</v>
      </c>
      <c r="D54" s="13" t="s">
        <v>58</v>
      </c>
      <c r="E54" s="31">
        <f t="shared" si="6"/>
        <v>-4337.9935234347868</v>
      </c>
      <c r="F54">
        <f t="shared" si="7"/>
        <v>-4338</v>
      </c>
      <c r="G54">
        <f t="shared" si="2"/>
        <v>4.7340000091935508E-3</v>
      </c>
      <c r="K54">
        <f>+G54</f>
        <v>4.7340000091935508E-3</v>
      </c>
      <c r="O54">
        <f t="shared" ca="1" si="8"/>
        <v>4.0751467895215913E-3</v>
      </c>
      <c r="Q54" s="2">
        <f t="shared" si="9"/>
        <v>36764.936500000003</v>
      </c>
    </row>
    <row r="55" spans="1:21">
      <c r="A55" s="42" t="s">
        <v>44</v>
      </c>
      <c r="B55" s="44"/>
      <c r="C55" s="42">
        <v>51816.325799999999</v>
      </c>
      <c r="D55" s="42">
        <v>2.0000000000000001E-4</v>
      </c>
      <c r="E55" s="31">
        <f t="shared" si="6"/>
        <v>-4292.9978124149193</v>
      </c>
      <c r="F55">
        <f t="shared" si="7"/>
        <v>-4293</v>
      </c>
      <c r="G55">
        <f t="shared" si="2"/>
        <v>1.5990000028978102E-3</v>
      </c>
      <c r="J55">
        <f>+G55</f>
        <v>1.5990000028978102E-3</v>
      </c>
      <c r="O55">
        <f t="shared" ca="1" si="8"/>
        <v>4.0575052546355092E-3</v>
      </c>
      <c r="Q55" s="2">
        <f t="shared" si="9"/>
        <v>36797.825799999999</v>
      </c>
    </row>
    <row r="56" spans="1:21">
      <c r="A56" s="42" t="s">
        <v>44</v>
      </c>
      <c r="B56" s="44"/>
      <c r="C56" s="42">
        <v>52095.5484</v>
      </c>
      <c r="D56" s="42">
        <v>8.0000000000000004E-4</v>
      </c>
      <c r="E56" s="31">
        <f t="shared" si="6"/>
        <v>-3910.9945645556459</v>
      </c>
      <c r="F56">
        <f t="shared" si="7"/>
        <v>-3911</v>
      </c>
      <c r="G56">
        <f t="shared" si="2"/>
        <v>3.9729999989503995E-3</v>
      </c>
      <c r="J56">
        <f>+G56</f>
        <v>3.9729999989503995E-3</v>
      </c>
      <c r="O56">
        <f t="shared" ca="1" si="8"/>
        <v>3.9077482251581013E-3</v>
      </c>
      <c r="Q56" s="2">
        <f t="shared" si="9"/>
        <v>37077.0484</v>
      </c>
    </row>
    <row r="57" spans="1:21">
      <c r="A57" s="67" t="s">
        <v>33</v>
      </c>
      <c r="B57" s="69" t="s">
        <v>35</v>
      </c>
      <c r="C57" s="68">
        <v>52106.512499999997</v>
      </c>
      <c r="D57" s="13"/>
      <c r="E57" s="31">
        <f t="shared" si="6"/>
        <v>-3895.9946261199575</v>
      </c>
      <c r="F57">
        <f t="shared" si="7"/>
        <v>-3896</v>
      </c>
      <c r="G57">
        <f t="shared" si="2"/>
        <v>3.9279999982682057E-3</v>
      </c>
      <c r="K57">
        <f>+G57</f>
        <v>3.9279999982682057E-3</v>
      </c>
      <c r="O57">
        <f t="shared" ca="1" si="8"/>
        <v>3.9018677135294073E-3</v>
      </c>
      <c r="Q57" s="2">
        <f t="shared" si="9"/>
        <v>37088.012499999997</v>
      </c>
    </row>
    <row r="58" spans="1:21">
      <c r="A58" s="45" t="s">
        <v>33</v>
      </c>
      <c r="B58" s="41" t="s">
        <v>35</v>
      </c>
      <c r="C58" s="46">
        <v>52106.51253</v>
      </c>
      <c r="D58" s="46">
        <v>6.0000000000000002E-5</v>
      </c>
      <c r="E58" s="31">
        <f t="shared" si="6"/>
        <v>-3895.9945850770814</v>
      </c>
      <c r="F58">
        <f t="shared" si="7"/>
        <v>-3896</v>
      </c>
      <c r="G58">
        <f t="shared" si="2"/>
        <v>3.9580000011483207E-3</v>
      </c>
      <c r="K58">
        <f>+G58</f>
        <v>3.9580000011483207E-3</v>
      </c>
      <c r="O58">
        <f t="shared" ca="1" si="8"/>
        <v>3.9018677135294073E-3</v>
      </c>
      <c r="Q58" s="2">
        <f t="shared" si="9"/>
        <v>37088.01253</v>
      </c>
    </row>
    <row r="59" spans="1:21">
      <c r="A59" s="42" t="s">
        <v>44</v>
      </c>
      <c r="B59" s="43" t="s">
        <v>32</v>
      </c>
      <c r="C59" s="42">
        <v>52121.497799999997</v>
      </c>
      <c r="D59" s="42">
        <v>1.1999999999999999E-3</v>
      </c>
      <c r="E59" s="31">
        <f t="shared" si="6"/>
        <v>-3875.4933011192388</v>
      </c>
      <c r="F59">
        <f t="shared" si="7"/>
        <v>-3875.5</v>
      </c>
      <c r="G59">
        <f t="shared" si="2"/>
        <v>4.8965000023599714E-3</v>
      </c>
      <c r="J59">
        <f>+G59</f>
        <v>4.8965000023599714E-3</v>
      </c>
      <c r="O59">
        <f t="shared" ca="1" si="8"/>
        <v>3.8938310143035253E-3</v>
      </c>
      <c r="Q59" s="2">
        <f t="shared" si="9"/>
        <v>37102.997799999997</v>
      </c>
    </row>
    <row r="60" spans="1:21">
      <c r="A60" s="42" t="s">
        <v>44</v>
      </c>
      <c r="B60" s="44"/>
      <c r="C60" s="42">
        <v>52136.482400000001</v>
      </c>
      <c r="D60" s="42">
        <v>1E-3</v>
      </c>
      <c r="E60" s="31">
        <f t="shared" si="6"/>
        <v>-3854.9929337855297</v>
      </c>
      <c r="F60">
        <f t="shared" si="7"/>
        <v>-3855</v>
      </c>
      <c r="G60">
        <f t="shared" si="2"/>
        <v>5.1650000023073517E-3</v>
      </c>
      <c r="J60">
        <f>+G60</f>
        <v>5.1650000023073517E-3</v>
      </c>
      <c r="O60">
        <f t="shared" ca="1" si="8"/>
        <v>3.8857943150776434E-3</v>
      </c>
      <c r="Q60" s="2">
        <f t="shared" si="9"/>
        <v>37117.982400000001</v>
      </c>
    </row>
    <row r="61" spans="1:21">
      <c r="A61" s="42" t="s">
        <v>44</v>
      </c>
      <c r="B61" s="43" t="s">
        <v>32</v>
      </c>
      <c r="C61" s="42">
        <v>52140.508999999998</v>
      </c>
      <c r="D61" s="42">
        <v>3.0000000000000001E-3</v>
      </c>
      <c r="E61" s="31">
        <f t="shared" si="6"/>
        <v>-3849.4841595035437</v>
      </c>
      <c r="F61">
        <f t="shared" si="7"/>
        <v>-3849.5</v>
      </c>
      <c r="G61">
        <f t="shared" si="2"/>
        <v>1.1578500001633074E-2</v>
      </c>
      <c r="J61">
        <f>+G61</f>
        <v>1.1578500001633074E-2</v>
      </c>
      <c r="O61">
        <f t="shared" ca="1" si="8"/>
        <v>3.8836381274804559E-3</v>
      </c>
      <c r="Q61" s="2">
        <f t="shared" si="9"/>
        <v>37122.008999999998</v>
      </c>
    </row>
    <row r="62" spans="1:21">
      <c r="A62" s="45" t="s">
        <v>34</v>
      </c>
      <c r="B62" s="41" t="s">
        <v>32</v>
      </c>
      <c r="C62" s="13">
        <v>52765.4568</v>
      </c>
      <c r="D62" s="13">
        <v>4.0000000000000002E-4</v>
      </c>
      <c r="E62" s="31">
        <f t="shared" si="6"/>
        <v>-2994.4957404339289</v>
      </c>
      <c r="F62">
        <f t="shared" si="7"/>
        <v>-2994.5</v>
      </c>
      <c r="G62">
        <f t="shared" si="2"/>
        <v>3.1135000026552007E-3</v>
      </c>
      <c r="K62">
        <f>+G62</f>
        <v>3.1135000026552007E-3</v>
      </c>
      <c r="O62">
        <f t="shared" ca="1" si="8"/>
        <v>3.5484489646448961E-3</v>
      </c>
      <c r="Q62" s="2">
        <f t="shared" si="9"/>
        <v>37746.9568</v>
      </c>
    </row>
    <row r="63" spans="1:21">
      <c r="A63" s="42" t="s">
        <v>45</v>
      </c>
      <c r="B63" s="44" t="s">
        <v>35</v>
      </c>
      <c r="C63" s="47">
        <v>53088.865899999997</v>
      </c>
      <c r="D63" s="42">
        <v>2.0000000000000001E-4</v>
      </c>
      <c r="E63" s="31">
        <f t="shared" si="6"/>
        <v>-2552.0411304301429</v>
      </c>
      <c r="F63">
        <f t="shared" si="7"/>
        <v>-2552</v>
      </c>
      <c r="O63">
        <f t="shared" ca="1" si="8"/>
        <v>3.3749738715984222E-3</v>
      </c>
      <c r="Q63" s="2">
        <f t="shared" si="9"/>
        <v>38070.365899999997</v>
      </c>
      <c r="U63" s="11">
        <v>-0.11099755000759615</v>
      </c>
    </row>
    <row r="64" spans="1:21">
      <c r="A64" s="42" t="s">
        <v>46</v>
      </c>
      <c r="B64" s="43" t="s">
        <v>35</v>
      </c>
      <c r="C64" s="42">
        <v>53111.56</v>
      </c>
      <c r="D64" s="42">
        <v>3.0000000000000001E-3</v>
      </c>
      <c r="E64" s="31">
        <f t="shared" si="6"/>
        <v>-2520.9934290361894</v>
      </c>
      <c r="F64">
        <f t="shared" si="7"/>
        <v>-2521</v>
      </c>
      <c r="G64">
        <f>+C64-(C$7+F64*C$8)</f>
        <v>4.8030000034486875E-3</v>
      </c>
      <c r="K64">
        <f>+G64</f>
        <v>4.8030000034486875E-3</v>
      </c>
      <c r="O64">
        <f t="shared" ca="1" si="8"/>
        <v>3.3628208142324548E-3</v>
      </c>
      <c r="Q64" s="2">
        <f t="shared" si="9"/>
        <v>38093.06</v>
      </c>
    </row>
    <row r="65" spans="1:21">
      <c r="A65" s="48" t="s">
        <v>48</v>
      </c>
      <c r="B65" s="36"/>
      <c r="C65" s="13">
        <v>53145.486199999999</v>
      </c>
      <c r="D65" s="13">
        <v>2.0000000000000001E-4</v>
      </c>
      <c r="E65" s="31">
        <f t="shared" si="6"/>
        <v>-2474.5791395498659</v>
      </c>
      <c r="F65">
        <f t="shared" si="7"/>
        <v>-2474.5</v>
      </c>
      <c r="O65">
        <f t="shared" ca="1" si="8"/>
        <v>3.344591228183503E-3</v>
      </c>
      <c r="Q65" s="2">
        <f t="shared" si="9"/>
        <v>38126.986199999999</v>
      </c>
      <c r="U65" s="11">
        <v>-0.13900092500261962</v>
      </c>
    </row>
    <row r="66" spans="1:21">
      <c r="A66" s="13" t="s">
        <v>57</v>
      </c>
      <c r="B66" s="41" t="s">
        <v>35</v>
      </c>
      <c r="C66" s="13">
        <v>53155.410770000002</v>
      </c>
      <c r="D66" s="13">
        <v>2E-3</v>
      </c>
      <c r="E66" s="31">
        <f t="shared" si="6"/>
        <v>-2461.0013776723968</v>
      </c>
      <c r="F66">
        <f t="shared" si="7"/>
        <v>-2461</v>
      </c>
      <c r="G66">
        <f t="shared" ref="G66:G78" si="10">+C66-(C$7+F66*C$8)</f>
        <v>-1.0069999916595407E-3</v>
      </c>
      <c r="K66">
        <f>+G66</f>
        <v>-1.0069999916595407E-3</v>
      </c>
      <c r="O66">
        <f t="shared" ca="1" si="8"/>
        <v>3.3392987677176786E-3</v>
      </c>
      <c r="Q66" s="2">
        <f t="shared" si="9"/>
        <v>38136.910770000002</v>
      </c>
    </row>
    <row r="67" spans="1:21">
      <c r="A67" s="49" t="s">
        <v>43</v>
      </c>
      <c r="B67" s="41"/>
      <c r="C67" s="13">
        <v>53159.796470000001</v>
      </c>
      <c r="D67" s="13">
        <v>5.0000000000000002E-5</v>
      </c>
      <c r="E67" s="31">
        <f t="shared" si="6"/>
        <v>-2455.0013202123778</v>
      </c>
      <c r="F67">
        <f t="shared" si="7"/>
        <v>-2455</v>
      </c>
      <c r="G67">
        <f t="shared" si="10"/>
        <v>-9.6499999926891178E-4</v>
      </c>
      <c r="K67">
        <f>+G67</f>
        <v>-9.6499999926891178E-4</v>
      </c>
      <c r="O67">
        <f t="shared" ca="1" si="8"/>
        <v>3.3369465630662008E-3</v>
      </c>
      <c r="Q67" s="2">
        <f t="shared" si="9"/>
        <v>38141.296470000001</v>
      </c>
    </row>
    <row r="68" spans="1:21">
      <c r="A68" s="67" t="s">
        <v>241</v>
      </c>
      <c r="B68" s="69" t="s">
        <v>35</v>
      </c>
      <c r="C68" s="68">
        <v>53159.796499999997</v>
      </c>
      <c r="D68" s="13"/>
      <c r="E68" s="31">
        <f t="shared" si="6"/>
        <v>-2455.0012791695117</v>
      </c>
      <c r="F68">
        <f t="shared" si="7"/>
        <v>-2455</v>
      </c>
      <c r="G68">
        <f t="shared" si="10"/>
        <v>-9.3500000366475433E-4</v>
      </c>
      <c r="K68">
        <f>+G68</f>
        <v>-9.3500000366475433E-4</v>
      </c>
      <c r="O68">
        <f t="shared" ca="1" si="8"/>
        <v>3.3369465630662008E-3</v>
      </c>
      <c r="Q68" s="2">
        <f t="shared" si="9"/>
        <v>38141.296499999997</v>
      </c>
    </row>
    <row r="69" spans="1:21">
      <c r="A69" s="48" t="s">
        <v>47</v>
      </c>
      <c r="B69" s="36" t="s">
        <v>32</v>
      </c>
      <c r="C69" s="46">
        <v>53235.450799999999</v>
      </c>
      <c r="D69" s="13">
        <v>6.9999999999999999E-4</v>
      </c>
      <c r="E69" s="31">
        <f t="shared" si="6"/>
        <v>-2351.4989540908091</v>
      </c>
      <c r="F69">
        <f t="shared" si="7"/>
        <v>-2351.5</v>
      </c>
      <c r="G69">
        <f t="shared" si="10"/>
        <v>7.6450000051409006E-4</v>
      </c>
      <c r="K69">
        <f>+G69</f>
        <v>7.6450000051409006E-4</v>
      </c>
      <c r="O69">
        <f t="shared" ca="1" si="8"/>
        <v>3.2963710328282121E-3</v>
      </c>
      <c r="Q69" s="2">
        <f t="shared" si="9"/>
        <v>38216.950799999999</v>
      </c>
    </row>
    <row r="70" spans="1:21">
      <c r="A70" s="42" t="s">
        <v>64</v>
      </c>
      <c r="B70" s="43" t="s">
        <v>35</v>
      </c>
      <c r="C70" s="42">
        <v>53253.358</v>
      </c>
      <c r="D70" s="42">
        <v>3.0000000000000001E-3</v>
      </c>
      <c r="E70" s="31">
        <f t="shared" si="6"/>
        <v>-2327.0001901653027</v>
      </c>
      <c r="F70">
        <f t="shared" si="7"/>
        <v>-2327</v>
      </c>
      <c r="G70">
        <f t="shared" si="10"/>
        <v>-1.3899999612476677E-4</v>
      </c>
      <c r="I70">
        <f>+G70</f>
        <v>-1.3899999612476677E-4</v>
      </c>
      <c r="O70">
        <f t="shared" ca="1" si="8"/>
        <v>3.2867661971680119E-3</v>
      </c>
      <c r="Q70" s="2">
        <f t="shared" si="9"/>
        <v>38234.858</v>
      </c>
    </row>
    <row r="71" spans="1:21">
      <c r="A71" s="13" t="s">
        <v>57</v>
      </c>
      <c r="B71" s="41" t="s">
        <v>35</v>
      </c>
      <c r="C71" s="13">
        <v>53511.384010000002</v>
      </c>
      <c r="D71" s="13">
        <v>1.9E-3</v>
      </c>
      <c r="E71" s="31">
        <f t="shared" si="6"/>
        <v>-1973.9959066575582</v>
      </c>
      <c r="F71">
        <f t="shared" si="7"/>
        <v>-1974</v>
      </c>
      <c r="G71">
        <f t="shared" si="10"/>
        <v>2.9920000015408732E-3</v>
      </c>
      <c r="K71">
        <f>+G71</f>
        <v>2.9920000015408732E-3</v>
      </c>
      <c r="O71">
        <f t="shared" ca="1" si="8"/>
        <v>3.1483781568394124E-3</v>
      </c>
      <c r="Q71" s="2">
        <f t="shared" si="9"/>
        <v>38492.884010000002</v>
      </c>
    </row>
    <row r="72" spans="1:21">
      <c r="A72" s="50" t="s">
        <v>50</v>
      </c>
      <c r="B72" s="41" t="s">
        <v>32</v>
      </c>
      <c r="C72" s="13">
        <v>53515.406499999997</v>
      </c>
      <c r="D72" s="13">
        <v>1.4E-3</v>
      </c>
      <c r="E72" s="31">
        <f t="shared" si="6"/>
        <v>-1968.492755249041</v>
      </c>
      <c r="F72">
        <f t="shared" si="7"/>
        <v>-1968.5</v>
      </c>
      <c r="G72">
        <f t="shared" si="10"/>
        <v>5.2954999991925433E-3</v>
      </c>
      <c r="J72">
        <f>+G72</f>
        <v>5.2954999991925433E-3</v>
      </c>
      <c r="O72">
        <f t="shared" ca="1" si="8"/>
        <v>3.1462219692422245E-3</v>
      </c>
      <c r="Q72" s="2">
        <f t="shared" si="9"/>
        <v>38496.906499999997</v>
      </c>
    </row>
    <row r="73" spans="1:21">
      <c r="A73" s="42" t="s">
        <v>64</v>
      </c>
      <c r="B73" s="43" t="s">
        <v>35</v>
      </c>
      <c r="C73" s="42">
        <v>53587.402999999998</v>
      </c>
      <c r="D73" s="42">
        <v>4.0000000000000001E-3</v>
      </c>
      <c r="E73" s="31">
        <f t="shared" si="6"/>
        <v>-1869.9946507456787</v>
      </c>
      <c r="F73">
        <f t="shared" si="7"/>
        <v>-1870</v>
      </c>
      <c r="G73">
        <f t="shared" si="10"/>
        <v>3.9099999994505197E-3</v>
      </c>
      <c r="I73">
        <f>+G73</f>
        <v>3.9099999994505197E-3</v>
      </c>
      <c r="O73">
        <f t="shared" ca="1" si="8"/>
        <v>3.1076066095471339E-3</v>
      </c>
      <c r="Q73" s="2">
        <f t="shared" si="9"/>
        <v>38568.902999999998</v>
      </c>
    </row>
    <row r="74" spans="1:21">
      <c r="A74" s="51" t="s">
        <v>55</v>
      </c>
      <c r="B74" s="44"/>
      <c r="C74" s="42">
        <v>53981.744299999998</v>
      </c>
      <c r="D74" s="42">
        <v>2.0000000000000001E-4</v>
      </c>
      <c r="E74" s="31">
        <f t="shared" si="6"/>
        <v>-1330.4980005280831</v>
      </c>
      <c r="F74">
        <f t="shared" si="7"/>
        <v>-1330.5</v>
      </c>
      <c r="G74">
        <f t="shared" si="10"/>
        <v>1.4615000036428683E-3</v>
      </c>
      <c r="K74">
        <f>+G74</f>
        <v>1.4615000036428683E-3</v>
      </c>
      <c r="O74">
        <f t="shared" ca="1" si="8"/>
        <v>2.8961042079684385E-3</v>
      </c>
      <c r="Q74" s="2">
        <f t="shared" si="9"/>
        <v>38963.244299999998</v>
      </c>
    </row>
    <row r="75" spans="1:21">
      <c r="A75" s="42" t="s">
        <v>63</v>
      </c>
      <c r="B75" s="43" t="s">
        <v>35</v>
      </c>
      <c r="C75" s="42">
        <v>55358.477500000001</v>
      </c>
      <c r="D75" s="42">
        <v>2.9999999999999997E-4</v>
      </c>
      <c r="E75" s="31">
        <f t="shared" si="6"/>
        <v>553.00481706508413</v>
      </c>
      <c r="F75">
        <f t="shared" si="7"/>
        <v>553</v>
      </c>
      <c r="G75">
        <f t="shared" si="10"/>
        <v>3.5210000060033053E-3</v>
      </c>
      <c r="K75">
        <f>+G75</f>
        <v>3.5210000060033053E-3</v>
      </c>
      <c r="O75">
        <f t="shared" ca="1" si="8"/>
        <v>2.1577079644587585E-3</v>
      </c>
      <c r="Q75" s="2">
        <f t="shared" si="9"/>
        <v>40339.977500000001</v>
      </c>
    </row>
    <row r="76" spans="1:21" ht="12" customHeight="1">
      <c r="A76" s="74" t="s">
        <v>277</v>
      </c>
      <c r="B76" s="75" t="s">
        <v>35</v>
      </c>
      <c r="C76" s="76">
        <v>57640.479669999797</v>
      </c>
      <c r="D76" s="76">
        <v>5.9999999999999995E-4</v>
      </c>
      <c r="E76" s="31">
        <f t="shared" si="6"/>
        <v>3675.0022505172083</v>
      </c>
      <c r="F76">
        <f t="shared" si="7"/>
        <v>3675</v>
      </c>
      <c r="G76">
        <f t="shared" si="10"/>
        <v>1.6449998001917265E-3</v>
      </c>
      <c r="K76">
        <f>+G76</f>
        <v>1.6449998001917265E-3</v>
      </c>
      <c r="O76">
        <f t="shared" ca="1" si="8"/>
        <v>9.337774774732415E-4</v>
      </c>
      <c r="Q76" s="2">
        <f t="shared" si="9"/>
        <v>42621.979669999797</v>
      </c>
    </row>
    <row r="77" spans="1:21" ht="12" customHeight="1">
      <c r="A77" s="71" t="s">
        <v>0</v>
      </c>
      <c r="B77" s="72" t="s">
        <v>35</v>
      </c>
      <c r="C77" s="73">
        <v>57891.5553</v>
      </c>
      <c r="D77" s="73">
        <v>2.0000000000000001E-4</v>
      </c>
      <c r="E77" s="31">
        <f t="shared" si="6"/>
        <v>4018.4977487984738</v>
      </c>
      <c r="F77">
        <f t="shared" si="7"/>
        <v>4018.5</v>
      </c>
      <c r="G77">
        <f t="shared" si="10"/>
        <v>-1.6455000004498288E-3</v>
      </c>
      <c r="K77">
        <f>+G77</f>
        <v>-1.6455000004498288E-3</v>
      </c>
      <c r="O77">
        <f t="shared" ca="1" si="8"/>
        <v>7.9911376117614832E-4</v>
      </c>
      <c r="Q77" s="2">
        <f t="shared" si="9"/>
        <v>42873.0553</v>
      </c>
    </row>
    <row r="78" spans="1:21" ht="12" customHeight="1">
      <c r="A78" s="77" t="s">
        <v>278</v>
      </c>
      <c r="B78" s="78" t="s">
        <v>35</v>
      </c>
      <c r="C78" s="79">
        <v>59717.819900000002</v>
      </c>
      <c r="D78" s="80">
        <v>8.9999999999999998E-4</v>
      </c>
      <c r="E78" s="31">
        <f t="shared" si="6"/>
        <v>6517.0025569709333</v>
      </c>
      <c r="F78">
        <f t="shared" si="7"/>
        <v>6517</v>
      </c>
      <c r="G78">
        <f t="shared" si="10"/>
        <v>1.8690000069909729E-3</v>
      </c>
      <c r="K78">
        <f>+G78</f>
        <v>1.8690000069909729E-3</v>
      </c>
      <c r="O78">
        <f t="shared" ca="1" si="8"/>
        <v>-1.8038345910998711E-4</v>
      </c>
      <c r="Q78" s="2">
        <f t="shared" si="9"/>
        <v>44699.319900000002</v>
      </c>
    </row>
    <row r="79" spans="1:21" ht="12" customHeight="1">
      <c r="A79" s="77" t="s">
        <v>280</v>
      </c>
      <c r="B79" s="81" t="s">
        <v>35</v>
      </c>
      <c r="C79" s="95">
        <v>60528.4427</v>
      </c>
      <c r="D79" s="82">
        <v>5.9999999999999995E-4</v>
      </c>
      <c r="E79" s="31">
        <f t="shared" ref="E79" si="11">+(C79-C$7)/C$8</f>
        <v>7626.0121514263119</v>
      </c>
      <c r="F79">
        <f t="shared" ref="F79" si="12">ROUND(2*E79,0)/2</f>
        <v>7626</v>
      </c>
      <c r="G79">
        <f t="shared" ref="G79" si="13">+C79-(C$7+F79*C$8)</f>
        <v>8.882000001904089E-3</v>
      </c>
      <c r="K79">
        <f>+G79</f>
        <v>8.882000001904089E-3</v>
      </c>
      <c r="O79">
        <f t="shared" ref="O79" ca="1" si="14">+C$11+C$12*F79</f>
        <v>-6.1514928552476545E-4</v>
      </c>
      <c r="Q79" s="2">
        <f t="shared" ref="Q79" si="15">+C79-15018.5</f>
        <v>45509.9427</v>
      </c>
    </row>
    <row r="80" spans="1:21" ht="12" customHeight="1">
      <c r="A80" s="45"/>
      <c r="B80" s="45"/>
      <c r="C80" s="13"/>
      <c r="D80" s="13"/>
    </row>
    <row r="81" spans="1:4">
      <c r="A81" s="45"/>
      <c r="B81" s="45"/>
      <c r="C81" s="13"/>
      <c r="D81" s="13"/>
    </row>
    <row r="82" spans="1:4">
      <c r="A82" s="45"/>
      <c r="B82" s="45"/>
      <c r="C82" s="13"/>
      <c r="D82" s="13"/>
    </row>
    <row r="83" spans="1:4">
      <c r="A83" s="45"/>
      <c r="B83" s="45"/>
      <c r="C83" s="13"/>
      <c r="D83" s="13"/>
    </row>
    <row r="84" spans="1:4">
      <c r="A84" s="45"/>
      <c r="B84" s="45"/>
      <c r="C84" s="13"/>
      <c r="D84" s="13"/>
    </row>
    <row r="85" spans="1:4">
      <c r="A85" s="45"/>
      <c r="B85" s="45"/>
      <c r="C85" s="13"/>
      <c r="D85" s="13"/>
    </row>
    <row r="86" spans="1:4">
      <c r="A86" s="45"/>
      <c r="B86" s="45"/>
      <c r="C86" s="13"/>
      <c r="D86" s="13"/>
    </row>
    <row r="87" spans="1:4">
      <c r="A87" s="45"/>
      <c r="B87" s="45"/>
      <c r="C87" s="13"/>
      <c r="D87" s="13"/>
    </row>
    <row r="88" spans="1:4">
      <c r="A88" s="45"/>
      <c r="B88" s="45"/>
      <c r="C88" s="13"/>
      <c r="D88" s="13"/>
    </row>
    <row r="89" spans="1:4">
      <c r="A89" s="45"/>
      <c r="B89" s="45"/>
      <c r="C89" s="13"/>
      <c r="D89" s="13"/>
    </row>
    <row r="90" spans="1:4">
      <c r="A90" s="45"/>
      <c r="B90" s="45"/>
      <c r="C90" s="13"/>
      <c r="D90" s="13"/>
    </row>
    <row r="91" spans="1:4">
      <c r="A91" s="45"/>
      <c r="B91" s="45"/>
      <c r="C91" s="13"/>
      <c r="D91" s="13"/>
    </row>
    <row r="92" spans="1:4">
      <c r="C92" s="14"/>
      <c r="D92" s="14"/>
    </row>
    <row r="93" spans="1:4">
      <c r="C93" s="14"/>
      <c r="D93" s="14"/>
    </row>
    <row r="94" spans="1:4">
      <c r="C94" s="14"/>
      <c r="D94" s="14"/>
    </row>
    <row r="95" spans="1:4">
      <c r="C95" s="14"/>
      <c r="D95" s="14"/>
    </row>
    <row r="96" spans="1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</sheetData>
  <protectedRanges>
    <protectedRange sqref="A77:D77" name="Range1"/>
  </protectedRanges>
  <sortState xmlns:xlrd2="http://schemas.microsoft.com/office/spreadsheetml/2017/richdata2" ref="A21:U78">
    <sortCondition ref="C21:C78"/>
  </sortState>
  <phoneticPr fontId="8" type="noConversion"/>
  <hyperlinks>
    <hyperlink ref="H63811" r:id="rId1" display="http://vsolj.cetus-net.org/bulletin.html" xr:uid="{00000000-0004-0000-0000-000000000000}"/>
    <hyperlink ref="H63804" r:id="rId2" display="https://www.aavso.org/ejaavso" xr:uid="{00000000-0004-0000-0000-000001000000}"/>
    <hyperlink ref="I63811" r:id="rId3" display="http://vsolj.cetus-net.org/bulletin.html" xr:uid="{00000000-0004-0000-0000-000002000000}"/>
    <hyperlink ref="AQ57462" r:id="rId4" display="http://cdsbib.u-strasbg.fr/cgi-bin/cdsbib?1990RMxAA..21..381G" xr:uid="{00000000-0004-0000-0000-000003000000}"/>
    <hyperlink ref="H63808" r:id="rId5" display="https://www.aavso.org/ejaavso" xr:uid="{00000000-0004-0000-0000-000004000000}"/>
    <hyperlink ref="AP4826" r:id="rId6" display="http://cdsbib.u-strasbg.fr/cgi-bin/cdsbib?1990RMxAA..21..381G" xr:uid="{00000000-0004-0000-0000-000005000000}"/>
    <hyperlink ref="AP4829" r:id="rId7" display="http://cdsbib.u-strasbg.fr/cgi-bin/cdsbib?1990RMxAA..21..381G" xr:uid="{00000000-0004-0000-0000-000006000000}"/>
    <hyperlink ref="AP4827" r:id="rId8" display="http://cdsbib.u-strasbg.fr/cgi-bin/cdsbib?1990RMxAA..21..381G" xr:uid="{00000000-0004-0000-0000-000007000000}"/>
    <hyperlink ref="AP4811" r:id="rId9" display="http://cdsbib.u-strasbg.fr/cgi-bin/cdsbib?1990RMxAA..21..381G" xr:uid="{00000000-0004-0000-0000-000008000000}"/>
    <hyperlink ref="AQ5040" r:id="rId10" display="http://cdsbib.u-strasbg.fr/cgi-bin/cdsbib?1990RMxAA..21..381G" xr:uid="{00000000-0004-0000-0000-000009000000}"/>
    <hyperlink ref="AQ5044" r:id="rId11" display="http://cdsbib.u-strasbg.fr/cgi-bin/cdsbib?1990RMxAA..21..381G" xr:uid="{00000000-0004-0000-0000-00000A000000}"/>
    <hyperlink ref="AQ64724" r:id="rId12" display="http://cdsbib.u-strasbg.fr/cgi-bin/cdsbib?1990RMxAA..21..381G" xr:uid="{00000000-0004-0000-0000-00000B000000}"/>
    <hyperlink ref="I1932" r:id="rId13" display="http://vsolj.cetus-net.org/bulletin.html" xr:uid="{00000000-0004-0000-0000-00000C000000}"/>
    <hyperlink ref="H1932" r:id="rId14" display="http://vsolj.cetus-net.org/bulletin.html" xr:uid="{00000000-0004-0000-0000-00000D000000}"/>
    <hyperlink ref="AQ65385" r:id="rId15" display="http://cdsbib.u-strasbg.fr/cgi-bin/cdsbib?1990RMxAA..21..381G" xr:uid="{00000000-0004-0000-0000-00000E000000}"/>
    <hyperlink ref="AQ65384" r:id="rId16" display="http://cdsbib.u-strasbg.fr/cgi-bin/cdsbib?1990RMxAA..21..381G" xr:uid="{00000000-0004-0000-0000-00000F000000}"/>
    <hyperlink ref="AP3102" r:id="rId17" display="http://cdsbib.u-strasbg.fr/cgi-bin/cdsbib?1990RMxAA..21..381G" xr:uid="{00000000-0004-0000-0000-000010000000}"/>
    <hyperlink ref="AP3120" r:id="rId18" display="http://cdsbib.u-strasbg.fr/cgi-bin/cdsbib?1990RMxAA..21..381G" xr:uid="{00000000-0004-0000-0000-000011000000}"/>
    <hyperlink ref="AP3121" r:id="rId19" display="http://cdsbib.u-strasbg.fr/cgi-bin/cdsbib?1990RMxAA..21..381G" xr:uid="{00000000-0004-0000-0000-000012000000}"/>
    <hyperlink ref="AP311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topLeftCell="A12" workbookViewId="0">
      <selection activeCell="A45" sqref="A45:C59"/>
    </sheetView>
  </sheetViews>
  <sheetFormatPr defaultRowHeight="12.75"/>
  <cols>
    <col min="1" max="1" width="19.7109375" style="12" customWidth="1"/>
    <col min="2" max="2" width="4.42578125" style="22" customWidth="1"/>
    <col min="3" max="3" width="12.7109375" style="12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2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54" t="s">
        <v>65</v>
      </c>
      <c r="I1" s="55" t="s">
        <v>66</v>
      </c>
      <c r="J1" s="56" t="s">
        <v>67</v>
      </c>
    </row>
    <row r="2" spans="1:16">
      <c r="I2" s="57" t="s">
        <v>68</v>
      </c>
      <c r="J2" s="58" t="s">
        <v>69</v>
      </c>
    </row>
    <row r="3" spans="1:16">
      <c r="A3" s="59" t="s">
        <v>70</v>
      </c>
      <c r="I3" s="57" t="s">
        <v>71</v>
      </c>
      <c r="J3" s="58" t="s">
        <v>72</v>
      </c>
    </row>
    <row r="4" spans="1:16">
      <c r="I4" s="57" t="s">
        <v>73</v>
      </c>
      <c r="J4" s="58" t="s">
        <v>72</v>
      </c>
    </row>
    <row r="5" spans="1:16" ht="13.5" thickBot="1">
      <c r="I5" s="60" t="s">
        <v>74</v>
      </c>
      <c r="J5" s="61" t="s">
        <v>58</v>
      </c>
    </row>
    <row r="10" spans="1:16" ht="13.5" thickBot="1"/>
    <row r="11" spans="1:16" ht="12.75" customHeight="1" thickBot="1">
      <c r="A11" s="12" t="str">
        <f t="shared" ref="A11:A42" si="0">P11</f>
        <v>BAVM 91 </v>
      </c>
      <c r="B11" s="5" t="str">
        <f t="shared" ref="B11:B42" si="1">IF(H11=INT(H11),"I","II")</f>
        <v>II</v>
      </c>
      <c r="C11" s="12">
        <f t="shared" ref="C11:C42" si="2">1*G11</f>
        <v>49787.594299999997</v>
      </c>
      <c r="D11" s="22" t="str">
        <f t="shared" ref="D11:D42" si="3">VLOOKUP(F11,I$1:J$5,2,FALSE)</f>
        <v>vis</v>
      </c>
      <c r="E11" s="62">
        <f>VLOOKUP(C11,Active!C$21:E$970,3,FALSE)</f>
        <v>-7068.4967227266698</v>
      </c>
      <c r="F11" s="5" t="s">
        <v>74</v>
      </c>
      <c r="G11" s="22" t="str">
        <f t="shared" ref="G11:G42" si="4">MID(I11,3,LEN(I11)-3)</f>
        <v>49787.5943</v>
      </c>
      <c r="H11" s="12">
        <f t="shared" ref="H11:H42" si="5">1*K11</f>
        <v>19086.5</v>
      </c>
      <c r="I11" s="63" t="s">
        <v>102</v>
      </c>
      <c r="J11" s="64" t="s">
        <v>103</v>
      </c>
      <c r="K11" s="63">
        <v>19086.5</v>
      </c>
      <c r="L11" s="63" t="s">
        <v>104</v>
      </c>
      <c r="M11" s="64" t="s">
        <v>105</v>
      </c>
      <c r="N11" s="64" t="s">
        <v>106</v>
      </c>
      <c r="O11" s="65" t="s">
        <v>107</v>
      </c>
      <c r="P11" s="66" t="s">
        <v>108</v>
      </c>
    </row>
    <row r="12" spans="1:16" ht="12.75" customHeight="1" thickBot="1">
      <c r="A12" s="12" t="str">
        <f t="shared" si="0"/>
        <v>BAVM 91 </v>
      </c>
      <c r="B12" s="5" t="str">
        <f t="shared" si="1"/>
        <v>I</v>
      </c>
      <c r="C12" s="12">
        <f t="shared" si="2"/>
        <v>49799.6564</v>
      </c>
      <c r="D12" s="22" t="str">
        <f t="shared" si="3"/>
        <v>vis</v>
      </c>
      <c r="E12" s="62">
        <f>VLOOKUP(C12,Active!C$21:E$970,3,FALSE)</f>
        <v>-7051.9946151751874</v>
      </c>
      <c r="F12" s="5" t="s">
        <v>74</v>
      </c>
      <c r="G12" s="22" t="str">
        <f t="shared" si="4"/>
        <v>49799.6564</v>
      </c>
      <c r="H12" s="12">
        <f t="shared" si="5"/>
        <v>19103</v>
      </c>
      <c r="I12" s="63" t="s">
        <v>109</v>
      </c>
      <c r="J12" s="64" t="s">
        <v>110</v>
      </c>
      <c r="K12" s="63">
        <v>19103</v>
      </c>
      <c r="L12" s="63" t="s">
        <v>111</v>
      </c>
      <c r="M12" s="64" t="s">
        <v>105</v>
      </c>
      <c r="N12" s="64" t="s">
        <v>106</v>
      </c>
      <c r="O12" s="65" t="s">
        <v>112</v>
      </c>
      <c r="P12" s="66" t="s">
        <v>108</v>
      </c>
    </row>
    <row r="13" spans="1:16" ht="12.75" customHeight="1" thickBot="1">
      <c r="A13" s="12" t="str">
        <f t="shared" si="0"/>
        <v>BAVM 91 </v>
      </c>
      <c r="B13" s="5" t="str">
        <f t="shared" si="1"/>
        <v>I</v>
      </c>
      <c r="C13" s="12">
        <f t="shared" si="2"/>
        <v>49857.396800000002</v>
      </c>
      <c r="D13" s="22" t="str">
        <f t="shared" si="3"/>
        <v>vis</v>
      </c>
      <c r="E13" s="62">
        <f>VLOOKUP(C13,Active!C$21:E$970,3,FALSE)</f>
        <v>-6973.0002202634059</v>
      </c>
      <c r="F13" s="5" t="s">
        <v>74</v>
      </c>
      <c r="G13" s="22" t="str">
        <f t="shared" si="4"/>
        <v>49857.3968</v>
      </c>
      <c r="H13" s="12">
        <f t="shared" si="5"/>
        <v>19182</v>
      </c>
      <c r="I13" s="63" t="s">
        <v>113</v>
      </c>
      <c r="J13" s="64" t="s">
        <v>114</v>
      </c>
      <c r="K13" s="63">
        <v>19182</v>
      </c>
      <c r="L13" s="63" t="s">
        <v>115</v>
      </c>
      <c r="M13" s="64" t="s">
        <v>105</v>
      </c>
      <c r="N13" s="64" t="s">
        <v>106</v>
      </c>
      <c r="O13" s="65" t="s">
        <v>112</v>
      </c>
      <c r="P13" s="66" t="s">
        <v>108</v>
      </c>
    </row>
    <row r="14" spans="1:16" ht="12.75" customHeight="1" thickBot="1">
      <c r="A14" s="12" t="str">
        <f t="shared" si="0"/>
        <v>BAVM 91 </v>
      </c>
      <c r="B14" s="5" t="str">
        <f t="shared" si="1"/>
        <v>I</v>
      </c>
      <c r="C14" s="12">
        <f t="shared" si="2"/>
        <v>49865.444100000001</v>
      </c>
      <c r="D14" s="22" t="str">
        <f t="shared" si="3"/>
        <v>vis</v>
      </c>
      <c r="E14" s="62">
        <f>VLOOKUP(C14,Active!C$21:E$970,3,FALSE)</f>
        <v>-6961.99074346426</v>
      </c>
      <c r="F14" s="5" t="s">
        <v>74</v>
      </c>
      <c r="G14" s="22" t="str">
        <f t="shared" si="4"/>
        <v>49865.4441</v>
      </c>
      <c r="H14" s="12">
        <f t="shared" si="5"/>
        <v>19193</v>
      </c>
      <c r="I14" s="63" t="s">
        <v>116</v>
      </c>
      <c r="J14" s="64" t="s">
        <v>117</v>
      </c>
      <c r="K14" s="63">
        <v>19193</v>
      </c>
      <c r="L14" s="63" t="s">
        <v>118</v>
      </c>
      <c r="M14" s="64" t="s">
        <v>105</v>
      </c>
      <c r="N14" s="64" t="s">
        <v>106</v>
      </c>
      <c r="O14" s="65" t="s">
        <v>112</v>
      </c>
      <c r="P14" s="66" t="s">
        <v>108</v>
      </c>
    </row>
    <row r="15" spans="1:16" ht="12.75" customHeight="1" thickBot="1">
      <c r="A15" s="12" t="str">
        <f t="shared" si="0"/>
        <v>BAVM 99 </v>
      </c>
      <c r="B15" s="5" t="str">
        <f t="shared" si="1"/>
        <v>I</v>
      </c>
      <c r="C15" s="12">
        <f t="shared" si="2"/>
        <v>50158.550199999998</v>
      </c>
      <c r="D15" s="22" t="str">
        <f t="shared" si="3"/>
        <v>vis</v>
      </c>
      <c r="E15" s="62">
        <f>VLOOKUP(C15,Active!C$21:E$970,3,FALSE)</f>
        <v>-6560.9935384838482</v>
      </c>
      <c r="F15" s="5" t="s">
        <v>74</v>
      </c>
      <c r="G15" s="22" t="str">
        <f t="shared" si="4"/>
        <v>50158.5502</v>
      </c>
      <c r="H15" s="12">
        <f t="shared" si="5"/>
        <v>19594</v>
      </c>
      <c r="I15" s="63" t="s">
        <v>119</v>
      </c>
      <c r="J15" s="64" t="s">
        <v>120</v>
      </c>
      <c r="K15" s="63">
        <v>19594</v>
      </c>
      <c r="L15" s="63" t="s">
        <v>121</v>
      </c>
      <c r="M15" s="64" t="s">
        <v>105</v>
      </c>
      <c r="N15" s="64" t="s">
        <v>106</v>
      </c>
      <c r="O15" s="65" t="s">
        <v>112</v>
      </c>
      <c r="P15" s="66" t="s">
        <v>122</v>
      </c>
    </row>
    <row r="16" spans="1:16" ht="12.75" customHeight="1" thickBot="1">
      <c r="A16" s="12" t="str">
        <f t="shared" si="0"/>
        <v>BAVM 99 </v>
      </c>
      <c r="B16" s="5" t="str">
        <f t="shared" si="1"/>
        <v>I</v>
      </c>
      <c r="C16" s="12">
        <f t="shared" si="2"/>
        <v>50248.458599999998</v>
      </c>
      <c r="D16" s="22" t="str">
        <f t="shared" si="3"/>
        <v>vis</v>
      </c>
      <c r="E16" s="62">
        <f>VLOOKUP(C16,Active!C$21:E$970,3,FALSE)</f>
        <v>-6437.9902400050332</v>
      </c>
      <c r="F16" s="5" t="s">
        <v>74</v>
      </c>
      <c r="G16" s="22" t="str">
        <f t="shared" si="4"/>
        <v>50248.4586</v>
      </c>
      <c r="H16" s="12">
        <f t="shared" si="5"/>
        <v>19717</v>
      </c>
      <c r="I16" s="63" t="s">
        <v>123</v>
      </c>
      <c r="J16" s="64" t="s">
        <v>124</v>
      </c>
      <c r="K16" s="63">
        <v>19717</v>
      </c>
      <c r="L16" s="63" t="s">
        <v>125</v>
      </c>
      <c r="M16" s="64" t="s">
        <v>105</v>
      </c>
      <c r="N16" s="64" t="s">
        <v>106</v>
      </c>
      <c r="O16" s="65" t="s">
        <v>126</v>
      </c>
      <c r="P16" s="66" t="s">
        <v>122</v>
      </c>
    </row>
    <row r="17" spans="1:16" ht="12.75" customHeight="1" thickBot="1">
      <c r="A17" s="12" t="str">
        <f t="shared" si="0"/>
        <v>BAVM 102 </v>
      </c>
      <c r="B17" s="5" t="str">
        <f t="shared" si="1"/>
        <v>I</v>
      </c>
      <c r="C17" s="12">
        <f t="shared" si="2"/>
        <v>50346.400600000001</v>
      </c>
      <c r="D17" s="22" t="str">
        <f t="shared" si="3"/>
        <v>vis</v>
      </c>
      <c r="E17" s="62">
        <f>VLOOKUP(C17,Active!C$21:E$970,3,FALSE)</f>
        <v>-6303.9962076386209</v>
      </c>
      <c r="F17" s="5" t="s">
        <v>74</v>
      </c>
      <c r="G17" s="22" t="str">
        <f t="shared" si="4"/>
        <v>50346.4006</v>
      </c>
      <c r="H17" s="12">
        <f t="shared" si="5"/>
        <v>19851</v>
      </c>
      <c r="I17" s="63" t="s">
        <v>127</v>
      </c>
      <c r="J17" s="64" t="s">
        <v>128</v>
      </c>
      <c r="K17" s="63">
        <v>19851</v>
      </c>
      <c r="L17" s="63" t="s">
        <v>129</v>
      </c>
      <c r="M17" s="64" t="s">
        <v>105</v>
      </c>
      <c r="N17" s="64" t="s">
        <v>106</v>
      </c>
      <c r="O17" s="65" t="s">
        <v>112</v>
      </c>
      <c r="P17" s="66" t="s">
        <v>130</v>
      </c>
    </row>
    <row r="18" spans="1:16" ht="12.75" customHeight="1" thickBot="1">
      <c r="A18" s="12" t="str">
        <f t="shared" si="0"/>
        <v>BAVM 102 </v>
      </c>
      <c r="B18" s="5" t="str">
        <f t="shared" si="1"/>
        <v>I</v>
      </c>
      <c r="C18" s="12">
        <f t="shared" si="2"/>
        <v>50379.293899999997</v>
      </c>
      <c r="D18" s="22" t="str">
        <f t="shared" si="3"/>
        <v>vis</v>
      </c>
      <c r="E18" s="62">
        <f>VLOOKUP(C18,Active!C$21:E$970,3,FALSE)</f>
        <v>-6258.9950242358163</v>
      </c>
      <c r="F18" s="5" t="s">
        <v>74</v>
      </c>
      <c r="G18" s="22" t="str">
        <f t="shared" si="4"/>
        <v>50379.2939</v>
      </c>
      <c r="H18" s="12">
        <f t="shared" si="5"/>
        <v>19896</v>
      </c>
      <c r="I18" s="63" t="s">
        <v>131</v>
      </c>
      <c r="J18" s="64" t="s">
        <v>132</v>
      </c>
      <c r="K18" s="63">
        <v>19896</v>
      </c>
      <c r="L18" s="63" t="s">
        <v>133</v>
      </c>
      <c r="M18" s="64" t="s">
        <v>105</v>
      </c>
      <c r="N18" s="64" t="s">
        <v>106</v>
      </c>
      <c r="O18" s="65" t="s">
        <v>112</v>
      </c>
      <c r="P18" s="66" t="s">
        <v>130</v>
      </c>
    </row>
    <row r="19" spans="1:16" ht="12.75" customHeight="1" thickBot="1">
      <c r="A19" s="12" t="str">
        <f t="shared" si="0"/>
        <v>BAVM 117 </v>
      </c>
      <c r="B19" s="5" t="str">
        <f t="shared" si="1"/>
        <v>I</v>
      </c>
      <c r="C19" s="12">
        <f t="shared" si="2"/>
        <v>50593.458200000001</v>
      </c>
      <c r="D19" s="22" t="str">
        <f t="shared" si="3"/>
        <v>vis</v>
      </c>
      <c r="E19" s="62">
        <f>VLOOKUP(C19,Active!C$21:E$970,3,FALSE)</f>
        <v>-5965.9977590591825</v>
      </c>
      <c r="F19" s="5" t="s">
        <v>74</v>
      </c>
      <c r="G19" s="22" t="str">
        <f t="shared" si="4"/>
        <v>50593.4582</v>
      </c>
      <c r="H19" s="12">
        <f t="shared" si="5"/>
        <v>20189</v>
      </c>
      <c r="I19" s="63" t="s">
        <v>134</v>
      </c>
      <c r="J19" s="64" t="s">
        <v>135</v>
      </c>
      <c r="K19" s="63">
        <v>20189</v>
      </c>
      <c r="L19" s="63" t="s">
        <v>136</v>
      </c>
      <c r="M19" s="64" t="s">
        <v>105</v>
      </c>
      <c r="N19" s="64" t="s">
        <v>106</v>
      </c>
      <c r="O19" s="65" t="s">
        <v>112</v>
      </c>
      <c r="P19" s="66" t="s">
        <v>137</v>
      </c>
    </row>
    <row r="20" spans="1:16" ht="12.75" customHeight="1" thickBot="1">
      <c r="A20" s="12" t="str">
        <f t="shared" si="0"/>
        <v>BAVM 117 </v>
      </c>
      <c r="B20" s="5" t="str">
        <f t="shared" si="1"/>
        <v>I</v>
      </c>
      <c r="C20" s="12">
        <f t="shared" si="2"/>
        <v>50894.611499999999</v>
      </c>
      <c r="D20" s="22" t="str">
        <f t="shared" si="3"/>
        <v>vis</v>
      </c>
      <c r="E20" s="62">
        <f>VLOOKUP(C20,Active!C$21:E$970,3,FALSE)</f>
        <v>-5553.9912140891947</v>
      </c>
      <c r="F20" s="5" t="s">
        <v>74</v>
      </c>
      <c r="G20" s="22" t="str">
        <f t="shared" si="4"/>
        <v>50894.6115</v>
      </c>
      <c r="H20" s="12">
        <f t="shared" si="5"/>
        <v>20601</v>
      </c>
      <c r="I20" s="63" t="s">
        <v>138</v>
      </c>
      <c r="J20" s="64" t="s">
        <v>139</v>
      </c>
      <c r="K20" s="63">
        <v>20601</v>
      </c>
      <c r="L20" s="63" t="s">
        <v>140</v>
      </c>
      <c r="M20" s="64" t="s">
        <v>105</v>
      </c>
      <c r="N20" s="64" t="s">
        <v>106</v>
      </c>
      <c r="O20" s="65" t="s">
        <v>112</v>
      </c>
      <c r="P20" s="66" t="s">
        <v>137</v>
      </c>
    </row>
    <row r="21" spans="1:16" ht="12.75" customHeight="1" thickBot="1">
      <c r="A21" s="12" t="str">
        <f t="shared" si="0"/>
        <v> BBS 118 </v>
      </c>
      <c r="B21" s="5" t="str">
        <f t="shared" si="1"/>
        <v>I</v>
      </c>
      <c r="C21" s="12">
        <f t="shared" si="2"/>
        <v>50949.432500000003</v>
      </c>
      <c r="D21" s="22" t="str">
        <f t="shared" si="3"/>
        <v>vis</v>
      </c>
      <c r="E21" s="62">
        <f>VLOOKUP(C21,Active!C$21:E$970,3,FALSE)</f>
        <v>-5478.9908378628625</v>
      </c>
      <c r="F21" s="5" t="s">
        <v>74</v>
      </c>
      <c r="G21" s="22" t="str">
        <f t="shared" si="4"/>
        <v>50949.4325</v>
      </c>
      <c r="H21" s="12">
        <f t="shared" si="5"/>
        <v>20676</v>
      </c>
      <c r="I21" s="63" t="s">
        <v>141</v>
      </c>
      <c r="J21" s="64" t="s">
        <v>142</v>
      </c>
      <c r="K21" s="63">
        <v>20676</v>
      </c>
      <c r="L21" s="63" t="s">
        <v>143</v>
      </c>
      <c r="M21" s="64" t="s">
        <v>105</v>
      </c>
      <c r="N21" s="64" t="s">
        <v>144</v>
      </c>
      <c r="O21" s="65" t="s">
        <v>145</v>
      </c>
      <c r="P21" s="65" t="s">
        <v>146</v>
      </c>
    </row>
    <row r="22" spans="1:16" ht="12.75" customHeight="1" thickBot="1">
      <c r="A22" s="12" t="str">
        <f t="shared" si="0"/>
        <v>BAVM 128 </v>
      </c>
      <c r="B22" s="5" t="str">
        <f t="shared" si="1"/>
        <v>I</v>
      </c>
      <c r="C22" s="12">
        <f t="shared" si="2"/>
        <v>51299.5501</v>
      </c>
      <c r="D22" s="22" t="str">
        <f t="shared" si="3"/>
        <v>vis</v>
      </c>
      <c r="E22" s="62">
        <f>VLOOKUP(C22,Active!C$21:E$970,3,FALSE)</f>
        <v>-4999.9964429510874</v>
      </c>
      <c r="F22" s="5" t="s">
        <v>74</v>
      </c>
      <c r="G22" s="22" t="str">
        <f t="shared" si="4"/>
        <v>51299.5501</v>
      </c>
      <c r="H22" s="12">
        <f t="shared" si="5"/>
        <v>21155</v>
      </c>
      <c r="I22" s="63" t="s">
        <v>147</v>
      </c>
      <c r="J22" s="64" t="s">
        <v>148</v>
      </c>
      <c r="K22" s="63">
        <v>21155</v>
      </c>
      <c r="L22" s="63" t="s">
        <v>149</v>
      </c>
      <c r="M22" s="64" t="s">
        <v>105</v>
      </c>
      <c r="N22" s="64" t="s">
        <v>106</v>
      </c>
      <c r="O22" s="65" t="s">
        <v>112</v>
      </c>
      <c r="P22" s="66" t="s">
        <v>150</v>
      </c>
    </row>
    <row r="23" spans="1:16" ht="12.75" customHeight="1" thickBot="1">
      <c r="A23" s="12" t="str">
        <f t="shared" si="0"/>
        <v>IBVS 5027 </v>
      </c>
      <c r="B23" s="5" t="str">
        <f t="shared" si="1"/>
        <v>II</v>
      </c>
      <c r="C23" s="12">
        <f t="shared" si="2"/>
        <v>51308.697999999997</v>
      </c>
      <c r="D23" s="22" t="str">
        <f t="shared" si="3"/>
        <v>vis</v>
      </c>
      <c r="E23" s="62">
        <f>VLOOKUP(C23,Active!C$21:E$970,3,FALSE)</f>
        <v>-4987.4812399872499</v>
      </c>
      <c r="F23" s="5" t="s">
        <v>74</v>
      </c>
      <c r="G23" s="22" t="str">
        <f t="shared" si="4"/>
        <v>51308.698</v>
      </c>
      <c r="H23" s="12">
        <f t="shared" si="5"/>
        <v>21167.5</v>
      </c>
      <c r="I23" s="63" t="s">
        <v>151</v>
      </c>
      <c r="J23" s="64" t="s">
        <v>152</v>
      </c>
      <c r="K23" s="63">
        <v>21167.5</v>
      </c>
      <c r="L23" s="63" t="s">
        <v>153</v>
      </c>
      <c r="M23" s="64" t="s">
        <v>105</v>
      </c>
      <c r="N23" s="64" t="s">
        <v>144</v>
      </c>
      <c r="O23" s="65" t="s">
        <v>145</v>
      </c>
      <c r="P23" s="66" t="s">
        <v>154</v>
      </c>
    </row>
    <row r="24" spans="1:16" ht="12.75" customHeight="1" thickBot="1">
      <c r="A24" s="12" t="str">
        <f t="shared" si="0"/>
        <v>IBVS 5027 </v>
      </c>
      <c r="B24" s="5" t="str">
        <f t="shared" si="1"/>
        <v>I</v>
      </c>
      <c r="C24" s="12">
        <f t="shared" si="2"/>
        <v>51312.7094</v>
      </c>
      <c r="D24" s="22" t="str">
        <f t="shared" si="3"/>
        <v>vis</v>
      </c>
      <c r="E24" s="62">
        <f>VLOOKUP(C24,Active!C$21:E$970,3,FALSE)</f>
        <v>-4981.9932607604114</v>
      </c>
      <c r="F24" s="5" t="s">
        <v>74</v>
      </c>
      <c r="G24" s="22" t="str">
        <f t="shared" si="4"/>
        <v>51312.7094</v>
      </c>
      <c r="H24" s="12">
        <f t="shared" si="5"/>
        <v>21173</v>
      </c>
      <c r="I24" s="63" t="s">
        <v>155</v>
      </c>
      <c r="J24" s="64" t="s">
        <v>156</v>
      </c>
      <c r="K24" s="63">
        <v>21173</v>
      </c>
      <c r="L24" s="63" t="s">
        <v>157</v>
      </c>
      <c r="M24" s="64" t="s">
        <v>105</v>
      </c>
      <c r="N24" s="64" t="s">
        <v>144</v>
      </c>
      <c r="O24" s="65" t="s">
        <v>145</v>
      </c>
      <c r="P24" s="66" t="s">
        <v>154</v>
      </c>
    </row>
    <row r="25" spans="1:16" ht="12.75" customHeight="1" thickBot="1">
      <c r="A25" s="12" t="str">
        <f t="shared" si="0"/>
        <v>IBVS 5263 </v>
      </c>
      <c r="B25" s="5" t="str">
        <f t="shared" si="1"/>
        <v>I</v>
      </c>
      <c r="C25" s="12">
        <f t="shared" si="2"/>
        <v>51449.394699999997</v>
      </c>
      <c r="D25" s="22" t="str">
        <f t="shared" si="3"/>
        <v>vis</v>
      </c>
      <c r="E25" s="62">
        <f>VLOOKUP(C25,Active!C$21:E$970,3,FALSE)</f>
        <v>-4794.9946849480739</v>
      </c>
      <c r="F25" s="5" t="s">
        <v>74</v>
      </c>
      <c r="G25" s="22" t="str">
        <f t="shared" si="4"/>
        <v>51449.3947</v>
      </c>
      <c r="H25" s="12">
        <f t="shared" si="5"/>
        <v>21360</v>
      </c>
      <c r="I25" s="63" t="s">
        <v>158</v>
      </c>
      <c r="J25" s="64" t="s">
        <v>159</v>
      </c>
      <c r="K25" s="63">
        <v>21360</v>
      </c>
      <c r="L25" s="63" t="s">
        <v>160</v>
      </c>
      <c r="M25" s="64" t="s">
        <v>105</v>
      </c>
      <c r="N25" s="64" t="s">
        <v>144</v>
      </c>
      <c r="O25" s="65" t="s">
        <v>161</v>
      </c>
      <c r="P25" s="66" t="s">
        <v>162</v>
      </c>
    </row>
    <row r="26" spans="1:16" ht="12.75" customHeight="1" thickBot="1">
      <c r="A26" s="12" t="str">
        <f t="shared" si="0"/>
        <v>BAVM 152 </v>
      </c>
      <c r="B26" s="5" t="str">
        <f t="shared" si="1"/>
        <v>II</v>
      </c>
      <c r="C26" s="12">
        <f t="shared" si="2"/>
        <v>51678.545400000003</v>
      </c>
      <c r="D26" s="22" t="str">
        <f t="shared" si="3"/>
        <v>vis</v>
      </c>
      <c r="E26" s="62">
        <f>VLOOKUP(C26,Active!C$21:E$970,3,FALSE)</f>
        <v>-4481.4945898654123</v>
      </c>
      <c r="F26" s="5" t="s">
        <v>74</v>
      </c>
      <c r="G26" s="22" t="str">
        <f t="shared" si="4"/>
        <v>51678.5454</v>
      </c>
      <c r="H26" s="12">
        <f t="shared" si="5"/>
        <v>21673.5</v>
      </c>
      <c r="I26" s="63" t="s">
        <v>169</v>
      </c>
      <c r="J26" s="64" t="s">
        <v>170</v>
      </c>
      <c r="K26" s="63">
        <v>21673.5</v>
      </c>
      <c r="L26" s="63" t="s">
        <v>171</v>
      </c>
      <c r="M26" s="64" t="s">
        <v>105</v>
      </c>
      <c r="N26" s="64" t="s">
        <v>106</v>
      </c>
      <c r="O26" s="65" t="s">
        <v>126</v>
      </c>
      <c r="P26" s="66" t="s">
        <v>172</v>
      </c>
    </row>
    <row r="27" spans="1:16" ht="12.75" customHeight="1" thickBot="1">
      <c r="A27" s="12" t="str">
        <f t="shared" si="0"/>
        <v>OEJV 0074 </v>
      </c>
      <c r="B27" s="5" t="str">
        <f t="shared" si="1"/>
        <v>I</v>
      </c>
      <c r="C27" s="12">
        <f t="shared" si="2"/>
        <v>51696.452619999996</v>
      </c>
      <c r="D27" s="22" t="str">
        <f t="shared" si="3"/>
        <v>vis</v>
      </c>
      <c r="E27" s="62">
        <f>VLOOKUP(C27,Active!C$21:E$970,3,FALSE)</f>
        <v>-4456.995798578002</v>
      </c>
      <c r="F27" s="5" t="s">
        <v>74</v>
      </c>
      <c r="G27" s="22" t="str">
        <f t="shared" si="4"/>
        <v>51696.45262</v>
      </c>
      <c r="H27" s="12">
        <f t="shared" si="5"/>
        <v>21698</v>
      </c>
      <c r="I27" s="63" t="s">
        <v>178</v>
      </c>
      <c r="J27" s="64" t="s">
        <v>179</v>
      </c>
      <c r="K27" s="63">
        <v>21698</v>
      </c>
      <c r="L27" s="63" t="s">
        <v>180</v>
      </c>
      <c r="M27" s="64" t="s">
        <v>181</v>
      </c>
      <c r="N27" s="64" t="s">
        <v>106</v>
      </c>
      <c r="O27" s="65" t="s">
        <v>182</v>
      </c>
      <c r="P27" s="66" t="s">
        <v>168</v>
      </c>
    </row>
    <row r="28" spans="1:16" ht="12.75" customHeight="1" thickBot="1">
      <c r="A28" s="12" t="str">
        <f t="shared" si="0"/>
        <v>OEJV 0074 </v>
      </c>
      <c r="B28" s="5" t="str">
        <f t="shared" si="1"/>
        <v>I</v>
      </c>
      <c r="C28" s="12">
        <f t="shared" si="2"/>
        <v>51699.375800000002</v>
      </c>
      <c r="D28" s="22" t="str">
        <f t="shared" si="3"/>
        <v>vis</v>
      </c>
      <c r="E28" s="62">
        <f>VLOOKUP(C28,Active!C$21:E$970,3,FALSE)</f>
        <v>-4452.9966084906691</v>
      </c>
      <c r="F28" s="5" t="s">
        <v>74</v>
      </c>
      <c r="G28" s="22" t="str">
        <f t="shared" si="4"/>
        <v>51699.37580</v>
      </c>
      <c r="H28" s="12">
        <f t="shared" si="5"/>
        <v>21702</v>
      </c>
      <c r="I28" s="63" t="s">
        <v>183</v>
      </c>
      <c r="J28" s="64" t="s">
        <v>184</v>
      </c>
      <c r="K28" s="63">
        <v>21702</v>
      </c>
      <c r="L28" s="63" t="s">
        <v>185</v>
      </c>
      <c r="M28" s="64" t="s">
        <v>181</v>
      </c>
      <c r="N28" s="64" t="s">
        <v>106</v>
      </c>
      <c r="O28" s="65" t="s">
        <v>182</v>
      </c>
      <c r="P28" s="66" t="s">
        <v>168</v>
      </c>
    </row>
    <row r="29" spans="1:16" ht="12.75" customHeight="1" thickBot="1">
      <c r="A29" s="12" t="str">
        <f t="shared" si="0"/>
        <v>BAVM 152 </v>
      </c>
      <c r="B29" s="5" t="str">
        <f t="shared" si="1"/>
        <v>I</v>
      </c>
      <c r="C29" s="12">
        <f t="shared" si="2"/>
        <v>51816.325799999999</v>
      </c>
      <c r="D29" s="22" t="str">
        <f t="shared" si="3"/>
        <v>vis</v>
      </c>
      <c r="E29" s="62">
        <f>VLOOKUP(C29,Active!C$21:E$970,3,FALSE)</f>
        <v>-4292.9978124149193</v>
      </c>
      <c r="F29" s="5" t="s">
        <v>74</v>
      </c>
      <c r="G29" s="22" t="str">
        <f t="shared" si="4"/>
        <v>51816.3258</v>
      </c>
      <c r="H29" s="12">
        <f t="shared" si="5"/>
        <v>21862</v>
      </c>
      <c r="I29" s="63" t="s">
        <v>196</v>
      </c>
      <c r="J29" s="64" t="s">
        <v>197</v>
      </c>
      <c r="K29" s="63">
        <v>21862</v>
      </c>
      <c r="L29" s="63" t="s">
        <v>198</v>
      </c>
      <c r="M29" s="64" t="s">
        <v>105</v>
      </c>
      <c r="N29" s="64" t="s">
        <v>106</v>
      </c>
      <c r="O29" s="65" t="s">
        <v>199</v>
      </c>
      <c r="P29" s="66" t="s">
        <v>172</v>
      </c>
    </row>
    <row r="30" spans="1:16" ht="12.75" customHeight="1" thickBot="1">
      <c r="A30" s="12" t="str">
        <f t="shared" si="0"/>
        <v>BAVM 152 </v>
      </c>
      <c r="B30" s="5" t="str">
        <f t="shared" si="1"/>
        <v>I</v>
      </c>
      <c r="C30" s="12">
        <f t="shared" si="2"/>
        <v>52095.5484</v>
      </c>
      <c r="D30" s="22" t="str">
        <f t="shared" si="3"/>
        <v>vis</v>
      </c>
      <c r="E30" s="62">
        <f>VLOOKUP(C30,Active!C$21:E$970,3,FALSE)</f>
        <v>-3910.9945645556459</v>
      </c>
      <c r="F30" s="5" t="s">
        <v>74</v>
      </c>
      <c r="G30" s="22" t="str">
        <f t="shared" si="4"/>
        <v>52095.5484</v>
      </c>
      <c r="H30" s="12">
        <f t="shared" si="5"/>
        <v>22244</v>
      </c>
      <c r="I30" s="63" t="s">
        <v>200</v>
      </c>
      <c r="J30" s="64" t="s">
        <v>201</v>
      </c>
      <c r="K30" s="63">
        <v>22244</v>
      </c>
      <c r="L30" s="63" t="s">
        <v>202</v>
      </c>
      <c r="M30" s="64" t="s">
        <v>105</v>
      </c>
      <c r="N30" s="64" t="s">
        <v>106</v>
      </c>
      <c r="O30" s="65" t="s">
        <v>126</v>
      </c>
      <c r="P30" s="66" t="s">
        <v>172</v>
      </c>
    </row>
    <row r="31" spans="1:16" ht="12.75" customHeight="1" thickBot="1">
      <c r="A31" s="12" t="str">
        <f t="shared" si="0"/>
        <v>BAVM 152 </v>
      </c>
      <c r="B31" s="5" t="str">
        <f t="shared" si="1"/>
        <v>II</v>
      </c>
      <c r="C31" s="12">
        <f t="shared" si="2"/>
        <v>52121.497799999997</v>
      </c>
      <c r="D31" s="22" t="str">
        <f t="shared" si="3"/>
        <v>vis</v>
      </c>
      <c r="E31" s="62">
        <f>VLOOKUP(C31,Active!C$21:E$970,3,FALSE)</f>
        <v>-3875.4933011192388</v>
      </c>
      <c r="F31" s="5" t="s">
        <v>74</v>
      </c>
      <c r="G31" s="22" t="str">
        <f t="shared" si="4"/>
        <v>52121.4978</v>
      </c>
      <c r="H31" s="12">
        <f t="shared" si="5"/>
        <v>22279.5</v>
      </c>
      <c r="I31" s="63" t="s">
        <v>209</v>
      </c>
      <c r="J31" s="64" t="s">
        <v>210</v>
      </c>
      <c r="K31" s="63">
        <v>22279.5</v>
      </c>
      <c r="L31" s="63" t="s">
        <v>211</v>
      </c>
      <c r="M31" s="64" t="s">
        <v>105</v>
      </c>
      <c r="N31" s="64" t="s">
        <v>106</v>
      </c>
      <c r="O31" s="65" t="s">
        <v>126</v>
      </c>
      <c r="P31" s="66" t="s">
        <v>172</v>
      </c>
    </row>
    <row r="32" spans="1:16" ht="12.75" customHeight="1" thickBot="1">
      <c r="A32" s="12" t="str">
        <f t="shared" si="0"/>
        <v>BAVM 152 </v>
      </c>
      <c r="B32" s="5" t="str">
        <f t="shared" si="1"/>
        <v>I</v>
      </c>
      <c r="C32" s="12">
        <f t="shared" si="2"/>
        <v>52136.482400000001</v>
      </c>
      <c r="D32" s="22" t="str">
        <f t="shared" si="3"/>
        <v>vis</v>
      </c>
      <c r="E32" s="62">
        <f>VLOOKUP(C32,Active!C$21:E$970,3,FALSE)</f>
        <v>-3854.9929337855297</v>
      </c>
      <c r="F32" s="5" t="s">
        <v>74</v>
      </c>
      <c r="G32" s="22" t="str">
        <f t="shared" si="4"/>
        <v>52136.4824</v>
      </c>
      <c r="H32" s="12">
        <f t="shared" si="5"/>
        <v>22300</v>
      </c>
      <c r="I32" s="63" t="s">
        <v>212</v>
      </c>
      <c r="J32" s="64" t="s">
        <v>213</v>
      </c>
      <c r="K32" s="63">
        <v>22300</v>
      </c>
      <c r="L32" s="63" t="s">
        <v>214</v>
      </c>
      <c r="M32" s="64" t="s">
        <v>105</v>
      </c>
      <c r="N32" s="64" t="s">
        <v>106</v>
      </c>
      <c r="O32" s="65" t="s">
        <v>126</v>
      </c>
      <c r="P32" s="66" t="s">
        <v>172</v>
      </c>
    </row>
    <row r="33" spans="1:16" ht="12.75" customHeight="1" thickBot="1">
      <c r="A33" s="12" t="str">
        <f t="shared" si="0"/>
        <v>BAVM 152 </v>
      </c>
      <c r="B33" s="5" t="str">
        <f t="shared" si="1"/>
        <v>II</v>
      </c>
      <c r="C33" s="12">
        <f t="shared" si="2"/>
        <v>52140.508999999998</v>
      </c>
      <c r="D33" s="22" t="str">
        <f t="shared" si="3"/>
        <v>vis</v>
      </c>
      <c r="E33" s="62">
        <f>VLOOKUP(C33,Active!C$21:E$970,3,FALSE)</f>
        <v>-3849.4841595035437</v>
      </c>
      <c r="F33" s="5" t="s">
        <v>74</v>
      </c>
      <c r="G33" s="22" t="str">
        <f t="shared" si="4"/>
        <v>52140.509</v>
      </c>
      <c r="H33" s="12">
        <f t="shared" si="5"/>
        <v>22305.5</v>
      </c>
      <c r="I33" s="63" t="s">
        <v>215</v>
      </c>
      <c r="J33" s="64" t="s">
        <v>216</v>
      </c>
      <c r="K33" s="63">
        <v>22305.5</v>
      </c>
      <c r="L33" s="63" t="s">
        <v>217</v>
      </c>
      <c r="M33" s="64" t="s">
        <v>105</v>
      </c>
      <c r="N33" s="64" t="s">
        <v>106</v>
      </c>
      <c r="O33" s="65" t="s">
        <v>126</v>
      </c>
      <c r="P33" s="66" t="s">
        <v>172</v>
      </c>
    </row>
    <row r="34" spans="1:16" ht="12.75" customHeight="1" thickBot="1">
      <c r="A34" s="12" t="str">
        <f t="shared" si="0"/>
        <v>IBVS 5434 </v>
      </c>
      <c r="B34" s="5" t="str">
        <f t="shared" si="1"/>
        <v>II</v>
      </c>
      <c r="C34" s="12">
        <f t="shared" si="2"/>
        <v>52765.4568</v>
      </c>
      <c r="D34" s="22" t="str">
        <f t="shared" si="3"/>
        <v>vis</v>
      </c>
      <c r="E34" s="62">
        <f>VLOOKUP(C34,Active!C$21:E$970,3,FALSE)</f>
        <v>-2994.4957404339289</v>
      </c>
      <c r="F34" s="5" t="s">
        <v>74</v>
      </c>
      <c r="G34" s="22" t="str">
        <f t="shared" si="4"/>
        <v>52765.4568</v>
      </c>
      <c r="H34" s="12">
        <f t="shared" si="5"/>
        <v>23160.5</v>
      </c>
      <c r="I34" s="63" t="s">
        <v>218</v>
      </c>
      <c r="J34" s="64" t="s">
        <v>219</v>
      </c>
      <c r="K34" s="63">
        <v>23160.5</v>
      </c>
      <c r="L34" s="63" t="s">
        <v>220</v>
      </c>
      <c r="M34" s="64" t="s">
        <v>105</v>
      </c>
      <c r="N34" s="64" t="s">
        <v>144</v>
      </c>
      <c r="O34" s="65" t="s">
        <v>221</v>
      </c>
      <c r="P34" s="66" t="s">
        <v>222</v>
      </c>
    </row>
    <row r="35" spans="1:16" ht="12.75" customHeight="1" thickBot="1">
      <c r="A35" s="12" t="str">
        <f t="shared" si="0"/>
        <v>IBVS 5603 </v>
      </c>
      <c r="B35" s="5" t="str">
        <f t="shared" si="1"/>
        <v>I</v>
      </c>
      <c r="C35" s="12">
        <f t="shared" si="2"/>
        <v>53088.865899999997</v>
      </c>
      <c r="D35" s="22" t="str">
        <f t="shared" si="3"/>
        <v>vis</v>
      </c>
      <c r="E35" s="62">
        <f>VLOOKUP(C35,Active!C$21:E$970,3,FALSE)</f>
        <v>-2552.0411304301429</v>
      </c>
      <c r="F35" s="5" t="s">
        <v>74</v>
      </c>
      <c r="G35" s="22" t="str">
        <f t="shared" si="4"/>
        <v>53088.8659</v>
      </c>
      <c r="H35" s="12">
        <f t="shared" si="5"/>
        <v>23603</v>
      </c>
      <c r="I35" s="63" t="s">
        <v>223</v>
      </c>
      <c r="J35" s="64" t="s">
        <v>224</v>
      </c>
      <c r="K35" s="63">
        <v>23603</v>
      </c>
      <c r="L35" s="63" t="s">
        <v>225</v>
      </c>
      <c r="M35" s="64" t="s">
        <v>105</v>
      </c>
      <c r="N35" s="64" t="s">
        <v>144</v>
      </c>
      <c r="O35" s="65" t="s">
        <v>226</v>
      </c>
      <c r="P35" s="66" t="s">
        <v>227</v>
      </c>
    </row>
    <row r="36" spans="1:16" ht="12.75" customHeight="1" thickBot="1">
      <c r="A36" s="12" t="str">
        <f t="shared" si="0"/>
        <v> BBS 130 </v>
      </c>
      <c r="B36" s="5" t="str">
        <f t="shared" si="1"/>
        <v>I</v>
      </c>
      <c r="C36" s="12">
        <f t="shared" si="2"/>
        <v>53111.56</v>
      </c>
      <c r="D36" s="22" t="str">
        <f t="shared" si="3"/>
        <v>vis</v>
      </c>
      <c r="E36" s="62">
        <f>VLOOKUP(C36,Active!C$21:E$970,3,FALSE)</f>
        <v>-2520.9934290361894</v>
      </c>
      <c r="F36" s="5" t="s">
        <v>74</v>
      </c>
      <c r="G36" s="22" t="str">
        <f t="shared" si="4"/>
        <v>53111.560</v>
      </c>
      <c r="H36" s="12">
        <f t="shared" si="5"/>
        <v>23634</v>
      </c>
      <c r="I36" s="63" t="s">
        <v>228</v>
      </c>
      <c r="J36" s="64" t="s">
        <v>229</v>
      </c>
      <c r="K36" s="63">
        <v>23634</v>
      </c>
      <c r="L36" s="63" t="s">
        <v>230</v>
      </c>
      <c r="M36" s="64" t="s">
        <v>166</v>
      </c>
      <c r="N36" s="64"/>
      <c r="O36" s="65" t="s">
        <v>231</v>
      </c>
      <c r="P36" s="65" t="s">
        <v>232</v>
      </c>
    </row>
    <row r="37" spans="1:16" ht="12.75" customHeight="1" thickBot="1">
      <c r="A37" s="12" t="str">
        <f t="shared" si="0"/>
        <v>OEJV 0074 </v>
      </c>
      <c r="B37" s="5" t="str">
        <f t="shared" si="1"/>
        <v>I</v>
      </c>
      <c r="C37" s="12">
        <f t="shared" si="2"/>
        <v>53155.410770000002</v>
      </c>
      <c r="D37" s="22" t="str">
        <f t="shared" si="3"/>
        <v>vis</v>
      </c>
      <c r="E37" s="62">
        <f>VLOOKUP(C37,Active!C$21:E$970,3,FALSE)</f>
        <v>-2461.0013776723968</v>
      </c>
      <c r="F37" s="5" t="s">
        <v>74</v>
      </c>
      <c r="G37" s="22" t="str">
        <f t="shared" si="4"/>
        <v>53155.41077</v>
      </c>
      <c r="H37" s="12">
        <f t="shared" si="5"/>
        <v>23694</v>
      </c>
      <c r="I37" s="63" t="s">
        <v>233</v>
      </c>
      <c r="J37" s="64" t="s">
        <v>234</v>
      </c>
      <c r="K37" s="63">
        <v>23694</v>
      </c>
      <c r="L37" s="63" t="s">
        <v>235</v>
      </c>
      <c r="M37" s="64" t="s">
        <v>181</v>
      </c>
      <c r="N37" s="64" t="s">
        <v>66</v>
      </c>
      <c r="O37" s="65" t="s">
        <v>236</v>
      </c>
      <c r="P37" s="66" t="s">
        <v>168</v>
      </c>
    </row>
    <row r="38" spans="1:16" ht="12.75" customHeight="1" thickBot="1">
      <c r="A38" s="12" t="str">
        <f t="shared" si="0"/>
        <v>IBVS 5684 </v>
      </c>
      <c r="B38" s="5" t="str">
        <f t="shared" si="1"/>
        <v>II</v>
      </c>
      <c r="C38" s="12">
        <f t="shared" si="2"/>
        <v>53235.450799999999</v>
      </c>
      <c r="D38" s="22" t="str">
        <f t="shared" si="3"/>
        <v>vis</v>
      </c>
      <c r="E38" s="62">
        <f>VLOOKUP(C38,Active!C$21:E$970,3,FALSE)</f>
        <v>-2351.4989540908091</v>
      </c>
      <c r="F38" s="5" t="s">
        <v>74</v>
      </c>
      <c r="G38" s="22" t="str">
        <f t="shared" si="4"/>
        <v>53235.4508</v>
      </c>
      <c r="H38" s="12">
        <f t="shared" si="5"/>
        <v>23803.5</v>
      </c>
      <c r="I38" s="63" t="s">
        <v>242</v>
      </c>
      <c r="J38" s="64" t="s">
        <v>243</v>
      </c>
      <c r="K38" s="63">
        <v>23803.5</v>
      </c>
      <c r="L38" s="63" t="s">
        <v>244</v>
      </c>
      <c r="M38" s="64" t="s">
        <v>105</v>
      </c>
      <c r="N38" s="64" t="s">
        <v>144</v>
      </c>
      <c r="O38" s="65" t="s">
        <v>245</v>
      </c>
      <c r="P38" s="66" t="s">
        <v>246</v>
      </c>
    </row>
    <row r="39" spans="1:16" ht="12.75" customHeight="1" thickBot="1">
      <c r="A39" s="12" t="str">
        <f t="shared" si="0"/>
        <v>OEJV 0003 </v>
      </c>
      <c r="B39" s="5" t="str">
        <f t="shared" si="1"/>
        <v>I</v>
      </c>
      <c r="C39" s="12">
        <f t="shared" si="2"/>
        <v>53253.358</v>
      </c>
      <c r="D39" s="22" t="str">
        <f t="shared" si="3"/>
        <v>vis</v>
      </c>
      <c r="E39" s="62">
        <f>VLOOKUP(C39,Active!C$21:E$970,3,FALSE)</f>
        <v>-2327.0001901653027</v>
      </c>
      <c r="F39" s="5" t="s">
        <v>74</v>
      </c>
      <c r="G39" s="22" t="str">
        <f t="shared" si="4"/>
        <v>53253.358</v>
      </c>
      <c r="H39" s="12">
        <f t="shared" si="5"/>
        <v>23828</v>
      </c>
      <c r="I39" s="63" t="s">
        <v>247</v>
      </c>
      <c r="J39" s="64" t="s">
        <v>248</v>
      </c>
      <c r="K39" s="63">
        <v>23828</v>
      </c>
      <c r="L39" s="63" t="s">
        <v>249</v>
      </c>
      <c r="M39" s="64" t="s">
        <v>166</v>
      </c>
      <c r="N39" s="64"/>
      <c r="O39" s="65" t="s">
        <v>231</v>
      </c>
      <c r="P39" s="66" t="s">
        <v>250</v>
      </c>
    </row>
    <row r="40" spans="1:16" ht="12.75" customHeight="1" thickBot="1">
      <c r="A40" s="12" t="str">
        <f t="shared" si="0"/>
        <v>OEJV 0074 </v>
      </c>
      <c r="B40" s="5" t="str">
        <f t="shared" si="1"/>
        <v>I</v>
      </c>
      <c r="C40" s="12">
        <f t="shared" si="2"/>
        <v>53511.384010000002</v>
      </c>
      <c r="D40" s="22" t="str">
        <f t="shared" si="3"/>
        <v>vis</v>
      </c>
      <c r="E40" s="62">
        <f>VLOOKUP(C40,Active!C$21:E$970,3,FALSE)</f>
        <v>-1973.9959066575582</v>
      </c>
      <c r="F40" s="5" t="s">
        <v>74</v>
      </c>
      <c r="G40" s="22" t="str">
        <f t="shared" si="4"/>
        <v>53511.38401</v>
      </c>
      <c r="H40" s="12">
        <f t="shared" si="5"/>
        <v>24181</v>
      </c>
      <c r="I40" s="63" t="s">
        <v>251</v>
      </c>
      <c r="J40" s="64" t="s">
        <v>252</v>
      </c>
      <c r="K40" s="63">
        <v>24181</v>
      </c>
      <c r="L40" s="63" t="s">
        <v>253</v>
      </c>
      <c r="M40" s="64" t="s">
        <v>181</v>
      </c>
      <c r="N40" s="64" t="s">
        <v>66</v>
      </c>
      <c r="O40" s="65" t="s">
        <v>236</v>
      </c>
      <c r="P40" s="66" t="s">
        <v>168</v>
      </c>
    </row>
    <row r="41" spans="1:16" ht="12.75" customHeight="1" thickBot="1">
      <c r="A41" s="12" t="str">
        <f t="shared" si="0"/>
        <v>BAVM 178 </v>
      </c>
      <c r="B41" s="5" t="str">
        <f t="shared" si="1"/>
        <v>II</v>
      </c>
      <c r="C41" s="12">
        <f t="shared" si="2"/>
        <v>53515.406499999997</v>
      </c>
      <c r="D41" s="22" t="str">
        <f t="shared" si="3"/>
        <v>vis</v>
      </c>
      <c r="E41" s="62">
        <f>VLOOKUP(C41,Active!C$21:E$970,3,FALSE)</f>
        <v>-1968.492755249041</v>
      </c>
      <c r="F41" s="5" t="s">
        <v>74</v>
      </c>
      <c r="G41" s="22" t="str">
        <f t="shared" si="4"/>
        <v>53515.4065</v>
      </c>
      <c r="H41" s="12">
        <f t="shared" si="5"/>
        <v>24186.5</v>
      </c>
      <c r="I41" s="63" t="s">
        <v>254</v>
      </c>
      <c r="J41" s="64" t="s">
        <v>255</v>
      </c>
      <c r="K41" s="63">
        <v>24186.5</v>
      </c>
      <c r="L41" s="63" t="s">
        <v>256</v>
      </c>
      <c r="M41" s="64" t="s">
        <v>181</v>
      </c>
      <c r="N41" s="64" t="s">
        <v>257</v>
      </c>
      <c r="O41" s="65" t="s">
        <v>258</v>
      </c>
      <c r="P41" s="66" t="s">
        <v>259</v>
      </c>
    </row>
    <row r="42" spans="1:16" ht="12.75" customHeight="1" thickBot="1">
      <c r="A42" s="12" t="str">
        <f t="shared" si="0"/>
        <v>OEJV 0003 </v>
      </c>
      <c r="B42" s="5" t="str">
        <f t="shared" si="1"/>
        <v>I</v>
      </c>
      <c r="C42" s="12">
        <f t="shared" si="2"/>
        <v>53587.402999999998</v>
      </c>
      <c r="D42" s="22" t="str">
        <f t="shared" si="3"/>
        <v>vis</v>
      </c>
      <c r="E42" s="62">
        <f>VLOOKUP(C42,Active!C$21:E$970,3,FALSE)</f>
        <v>-1869.9946507456787</v>
      </c>
      <c r="F42" s="5" t="s">
        <v>74</v>
      </c>
      <c r="G42" s="22" t="str">
        <f t="shared" si="4"/>
        <v>53587.403</v>
      </c>
      <c r="H42" s="12">
        <f t="shared" si="5"/>
        <v>24285</v>
      </c>
      <c r="I42" s="63" t="s">
        <v>260</v>
      </c>
      <c r="J42" s="64" t="s">
        <v>261</v>
      </c>
      <c r="K42" s="63" t="s">
        <v>262</v>
      </c>
      <c r="L42" s="63" t="s">
        <v>263</v>
      </c>
      <c r="M42" s="64" t="s">
        <v>166</v>
      </c>
      <c r="N42" s="64"/>
      <c r="O42" s="65" t="s">
        <v>231</v>
      </c>
      <c r="P42" s="66" t="s">
        <v>250</v>
      </c>
    </row>
    <row r="43" spans="1:16" ht="12.75" customHeight="1" thickBot="1">
      <c r="A43" s="12" t="str">
        <f t="shared" ref="A43:A59" si="6">P43</f>
        <v>IBVS 5760 </v>
      </c>
      <c r="B43" s="5" t="str">
        <f t="shared" ref="B43:B59" si="7">IF(H43=INT(H43),"I","II")</f>
        <v>II</v>
      </c>
      <c r="C43" s="12">
        <f t="shared" ref="C43:C59" si="8">1*G43</f>
        <v>53981.744299999998</v>
      </c>
      <c r="D43" s="22" t="str">
        <f t="shared" ref="D43:D59" si="9">VLOOKUP(F43,I$1:J$5,2,FALSE)</f>
        <v>vis</v>
      </c>
      <c r="E43" s="62">
        <f>VLOOKUP(C43,Active!C$21:E$970,3,FALSE)</f>
        <v>-1330.4980005280831</v>
      </c>
      <c r="F43" s="5" t="s">
        <v>74</v>
      </c>
      <c r="G43" s="22" t="str">
        <f t="shared" ref="G43:G59" si="10">MID(I43,3,LEN(I43)-3)</f>
        <v>53981.7443</v>
      </c>
      <c r="H43" s="12">
        <f t="shared" ref="H43:H59" si="11">1*K43</f>
        <v>24824.5</v>
      </c>
      <c r="I43" s="63" t="s">
        <v>264</v>
      </c>
      <c r="J43" s="64" t="s">
        <v>265</v>
      </c>
      <c r="K43" s="63" t="s">
        <v>266</v>
      </c>
      <c r="L43" s="63" t="s">
        <v>267</v>
      </c>
      <c r="M43" s="64" t="s">
        <v>181</v>
      </c>
      <c r="N43" s="64" t="s">
        <v>29</v>
      </c>
      <c r="O43" s="65" t="s">
        <v>268</v>
      </c>
      <c r="P43" s="66" t="s">
        <v>269</v>
      </c>
    </row>
    <row r="44" spans="1:16" ht="12.75" customHeight="1" thickBot="1">
      <c r="A44" s="12" t="str">
        <f t="shared" si="6"/>
        <v>IBVS 5979 </v>
      </c>
      <c r="B44" s="5" t="str">
        <f t="shared" si="7"/>
        <v>I</v>
      </c>
      <c r="C44" s="12">
        <f t="shared" si="8"/>
        <v>55358.477500000001</v>
      </c>
      <c r="D44" s="22" t="str">
        <f t="shared" si="9"/>
        <v>vis</v>
      </c>
      <c r="E44" s="62">
        <f>VLOOKUP(C44,Active!C$21:E$970,3,FALSE)</f>
        <v>553.00481706508413</v>
      </c>
      <c r="F44" s="5" t="s">
        <v>74</v>
      </c>
      <c r="G44" s="22" t="str">
        <f t="shared" si="10"/>
        <v>55358.4775</v>
      </c>
      <c r="H44" s="12">
        <f t="shared" si="11"/>
        <v>26708</v>
      </c>
      <c r="I44" s="63" t="s">
        <v>270</v>
      </c>
      <c r="J44" s="64" t="s">
        <v>271</v>
      </c>
      <c r="K44" s="63" t="s">
        <v>272</v>
      </c>
      <c r="L44" s="63" t="s">
        <v>273</v>
      </c>
      <c r="M44" s="64" t="s">
        <v>181</v>
      </c>
      <c r="N44" s="64" t="s">
        <v>274</v>
      </c>
      <c r="O44" s="65" t="s">
        <v>221</v>
      </c>
      <c r="P44" s="66" t="s">
        <v>275</v>
      </c>
    </row>
    <row r="45" spans="1:16" ht="12.75" customHeight="1" thickBot="1">
      <c r="A45" s="12" t="str">
        <f t="shared" si="6"/>
        <v> RIA 6.464 </v>
      </c>
      <c r="B45" s="5" t="str">
        <f t="shared" si="7"/>
        <v>I</v>
      </c>
      <c r="C45" s="12">
        <f t="shared" si="8"/>
        <v>33738.646000000001</v>
      </c>
      <c r="D45" s="22" t="str">
        <f t="shared" si="9"/>
        <v>vis</v>
      </c>
      <c r="E45" s="62">
        <f>VLOOKUP(C45,Active!C$21:E$970,3,FALSE)</f>
        <v>-29024.994425009878</v>
      </c>
      <c r="F45" s="5" t="s">
        <v>74</v>
      </c>
      <c r="G45" s="22" t="str">
        <f t="shared" si="10"/>
        <v>33738.646</v>
      </c>
      <c r="H45" s="12">
        <f t="shared" si="11"/>
        <v>-2870</v>
      </c>
      <c r="I45" s="63" t="s">
        <v>76</v>
      </c>
      <c r="J45" s="64" t="s">
        <v>77</v>
      </c>
      <c r="K45" s="63">
        <v>-2870</v>
      </c>
      <c r="L45" s="63" t="s">
        <v>78</v>
      </c>
      <c r="M45" s="64" t="s">
        <v>79</v>
      </c>
      <c r="N45" s="64"/>
      <c r="O45" s="65" t="s">
        <v>80</v>
      </c>
      <c r="P45" s="65" t="s">
        <v>81</v>
      </c>
    </row>
    <row r="46" spans="1:16" ht="12.75" customHeight="1" thickBot="1">
      <c r="A46" s="12" t="str">
        <f t="shared" si="6"/>
        <v> RIA 6.464 </v>
      </c>
      <c r="B46" s="5" t="str">
        <f t="shared" si="7"/>
        <v>I</v>
      </c>
      <c r="C46" s="12">
        <f t="shared" si="8"/>
        <v>34236.417999999998</v>
      </c>
      <c r="D46" s="22" t="str">
        <f t="shared" si="9"/>
        <v>vis</v>
      </c>
      <c r="E46" s="62">
        <f>VLOOKUP(C46,Active!C$21:E$970,3,FALSE)</f>
        <v>-28343.994675371403</v>
      </c>
      <c r="F46" s="5" t="s">
        <v>74</v>
      </c>
      <c r="G46" s="22" t="str">
        <f t="shared" si="10"/>
        <v>34236.418</v>
      </c>
      <c r="H46" s="12">
        <f t="shared" si="11"/>
        <v>-2189</v>
      </c>
      <c r="I46" s="63" t="s">
        <v>82</v>
      </c>
      <c r="J46" s="64" t="s">
        <v>83</v>
      </c>
      <c r="K46" s="63">
        <v>-2189</v>
      </c>
      <c r="L46" s="63" t="s">
        <v>84</v>
      </c>
      <c r="M46" s="64" t="s">
        <v>79</v>
      </c>
      <c r="N46" s="64"/>
      <c r="O46" s="65" t="s">
        <v>80</v>
      </c>
      <c r="P46" s="65" t="s">
        <v>81</v>
      </c>
    </row>
    <row r="47" spans="1:16" ht="12.75" customHeight="1" thickBot="1">
      <c r="A47" s="12" t="str">
        <f t="shared" si="6"/>
        <v> RIA 6.464 </v>
      </c>
      <c r="B47" s="5" t="str">
        <f t="shared" si="7"/>
        <v>I</v>
      </c>
      <c r="C47" s="12">
        <f t="shared" si="8"/>
        <v>34630.404999999999</v>
      </c>
      <c r="D47" s="22" t="str">
        <f t="shared" si="9"/>
        <v>vis</v>
      </c>
      <c r="E47" s="62">
        <f>VLOOKUP(C47,Active!C$21:E$970,3,FALSE)</f>
        <v>-27804.982741472315</v>
      </c>
      <c r="F47" s="5" t="s">
        <v>74</v>
      </c>
      <c r="G47" s="22" t="str">
        <f t="shared" si="10"/>
        <v>34630.405</v>
      </c>
      <c r="H47" s="12">
        <f t="shared" si="11"/>
        <v>-1650</v>
      </c>
      <c r="I47" s="63" t="s">
        <v>85</v>
      </c>
      <c r="J47" s="64" t="s">
        <v>86</v>
      </c>
      <c r="K47" s="63">
        <v>-1650</v>
      </c>
      <c r="L47" s="63" t="s">
        <v>87</v>
      </c>
      <c r="M47" s="64" t="s">
        <v>79</v>
      </c>
      <c r="N47" s="64"/>
      <c r="O47" s="65" t="s">
        <v>80</v>
      </c>
      <c r="P47" s="65" t="s">
        <v>81</v>
      </c>
    </row>
    <row r="48" spans="1:16" ht="12.75" customHeight="1" thickBot="1">
      <c r="A48" s="12" t="str">
        <f t="shared" si="6"/>
        <v> RIA 6.464 </v>
      </c>
      <c r="B48" s="5" t="str">
        <f t="shared" si="7"/>
        <v>I</v>
      </c>
      <c r="C48" s="12">
        <f t="shared" si="8"/>
        <v>34841.648000000001</v>
      </c>
      <c r="D48" s="22" t="str">
        <f t="shared" si="9"/>
        <v>vis</v>
      </c>
      <c r="E48" s="62">
        <f>VLOOKUP(C48,Active!C$21:E$970,3,FALSE)</f>
        <v>-27515.982094363029</v>
      </c>
      <c r="F48" s="5" t="s">
        <v>74</v>
      </c>
      <c r="G48" s="22" t="str">
        <f t="shared" si="10"/>
        <v>34841.648</v>
      </c>
      <c r="H48" s="12">
        <f t="shared" si="11"/>
        <v>-1361</v>
      </c>
      <c r="I48" s="63" t="s">
        <v>88</v>
      </c>
      <c r="J48" s="64" t="s">
        <v>89</v>
      </c>
      <c r="K48" s="63">
        <v>-1361</v>
      </c>
      <c r="L48" s="63" t="s">
        <v>90</v>
      </c>
      <c r="M48" s="64" t="s">
        <v>79</v>
      </c>
      <c r="N48" s="64"/>
      <c r="O48" s="65" t="s">
        <v>80</v>
      </c>
      <c r="P48" s="65" t="s">
        <v>81</v>
      </c>
    </row>
    <row r="49" spans="1:16" ht="12.75" customHeight="1" thickBot="1">
      <c r="A49" s="12" t="str">
        <f t="shared" si="6"/>
        <v> RIA 6.464 </v>
      </c>
      <c r="B49" s="5" t="str">
        <f t="shared" si="7"/>
        <v>I</v>
      </c>
      <c r="C49" s="12">
        <f t="shared" si="8"/>
        <v>34959.334999999999</v>
      </c>
      <c r="D49" s="22" t="str">
        <f t="shared" si="9"/>
        <v>vis</v>
      </c>
      <c r="E49" s="62">
        <f>VLOOKUP(C49,Active!C$21:E$970,3,FALSE)</f>
        <v>-27354.975011731418</v>
      </c>
      <c r="F49" s="5" t="s">
        <v>74</v>
      </c>
      <c r="G49" s="22" t="str">
        <f t="shared" si="10"/>
        <v>34959.335</v>
      </c>
      <c r="H49" s="12">
        <f t="shared" si="11"/>
        <v>-1200</v>
      </c>
      <c r="I49" s="63" t="s">
        <v>91</v>
      </c>
      <c r="J49" s="64" t="s">
        <v>92</v>
      </c>
      <c r="K49" s="63">
        <v>-1200</v>
      </c>
      <c r="L49" s="63" t="s">
        <v>93</v>
      </c>
      <c r="M49" s="64" t="s">
        <v>79</v>
      </c>
      <c r="N49" s="64"/>
      <c r="O49" s="65" t="s">
        <v>80</v>
      </c>
      <c r="P49" s="65" t="s">
        <v>81</v>
      </c>
    </row>
    <row r="50" spans="1:16" ht="12.75" customHeight="1" thickBot="1">
      <c r="A50" s="12" t="str">
        <f t="shared" si="6"/>
        <v> RIA 6.464 </v>
      </c>
      <c r="B50" s="5" t="str">
        <f t="shared" si="7"/>
        <v>I</v>
      </c>
      <c r="C50" s="12">
        <f t="shared" si="8"/>
        <v>37822.436999999998</v>
      </c>
      <c r="D50" s="22" t="str">
        <f t="shared" si="9"/>
        <v>vis</v>
      </c>
      <c r="E50" s="62">
        <f>VLOOKUP(C50,Active!C$21:E$970,3,FALSE)</f>
        <v>-23437.977379905136</v>
      </c>
      <c r="F50" s="5" t="s">
        <v>74</v>
      </c>
      <c r="G50" s="22" t="str">
        <f t="shared" si="10"/>
        <v>37822.437</v>
      </c>
      <c r="H50" s="12">
        <f t="shared" si="11"/>
        <v>2717</v>
      </c>
      <c r="I50" s="63" t="s">
        <v>94</v>
      </c>
      <c r="J50" s="64" t="s">
        <v>95</v>
      </c>
      <c r="K50" s="63">
        <v>2717</v>
      </c>
      <c r="L50" s="63" t="s">
        <v>96</v>
      </c>
      <c r="M50" s="64" t="s">
        <v>75</v>
      </c>
      <c r="N50" s="64"/>
      <c r="O50" s="65" t="s">
        <v>80</v>
      </c>
      <c r="P50" s="65" t="s">
        <v>81</v>
      </c>
    </row>
    <row r="51" spans="1:16" ht="12.75" customHeight="1" thickBot="1">
      <c r="A51" s="12" t="str">
        <f t="shared" si="6"/>
        <v> RIA 6.464 </v>
      </c>
      <c r="B51" s="5" t="str">
        <f t="shared" si="7"/>
        <v>I</v>
      </c>
      <c r="C51" s="12">
        <f t="shared" si="8"/>
        <v>38172.563999999998</v>
      </c>
      <c r="D51" s="22" t="str">
        <f t="shared" si="9"/>
        <v>vis</v>
      </c>
      <c r="E51" s="62">
        <f>VLOOKUP(C51,Active!C$21:E$970,3,FALSE)</f>
        <v>-22958.970124893458</v>
      </c>
      <c r="F51" s="5" t="s">
        <v>74</v>
      </c>
      <c r="G51" s="22" t="str">
        <f t="shared" si="10"/>
        <v>38172.564</v>
      </c>
      <c r="H51" s="12">
        <f t="shared" si="11"/>
        <v>3196</v>
      </c>
      <c r="I51" s="63" t="s">
        <v>97</v>
      </c>
      <c r="J51" s="64" t="s">
        <v>98</v>
      </c>
      <c r="K51" s="63">
        <v>3196</v>
      </c>
      <c r="L51" s="63" t="s">
        <v>78</v>
      </c>
      <c r="M51" s="64" t="s">
        <v>75</v>
      </c>
      <c r="N51" s="64"/>
      <c r="O51" s="65" t="s">
        <v>80</v>
      </c>
      <c r="P51" s="65" t="s">
        <v>81</v>
      </c>
    </row>
    <row r="52" spans="1:16" ht="12.75" customHeight="1" thickBot="1">
      <c r="A52" s="12" t="str">
        <f t="shared" si="6"/>
        <v> RIA 6.464 </v>
      </c>
      <c r="B52" s="5" t="str">
        <f t="shared" si="7"/>
        <v>I</v>
      </c>
      <c r="C52" s="12">
        <f t="shared" si="8"/>
        <v>38289.514000000003</v>
      </c>
      <c r="D52" s="22" t="str">
        <f t="shared" si="9"/>
        <v>vis</v>
      </c>
      <c r="E52" s="62">
        <f>VLOOKUP(C52,Active!C$21:E$970,3,FALSE)</f>
        <v>-22798.971328817697</v>
      </c>
      <c r="F52" s="5" t="s">
        <v>74</v>
      </c>
      <c r="G52" s="22" t="str">
        <f t="shared" si="10"/>
        <v>38289.514</v>
      </c>
      <c r="H52" s="12">
        <f t="shared" si="11"/>
        <v>3356</v>
      </c>
      <c r="I52" s="63" t="s">
        <v>99</v>
      </c>
      <c r="J52" s="64" t="s">
        <v>100</v>
      </c>
      <c r="K52" s="63">
        <v>3356</v>
      </c>
      <c r="L52" s="63" t="s">
        <v>101</v>
      </c>
      <c r="M52" s="64" t="s">
        <v>79</v>
      </c>
      <c r="N52" s="64"/>
      <c r="O52" s="65" t="s">
        <v>80</v>
      </c>
      <c r="P52" s="65" t="s">
        <v>81</v>
      </c>
    </row>
    <row r="53" spans="1:16" ht="12.75" customHeight="1" thickBot="1">
      <c r="A53" s="12" t="str">
        <f t="shared" si="6"/>
        <v>OEJV 0074 </v>
      </c>
      <c r="B53" s="5" t="str">
        <f t="shared" si="7"/>
        <v>I</v>
      </c>
      <c r="C53" s="12">
        <f t="shared" si="8"/>
        <v>51677.438999999998</v>
      </c>
      <c r="D53" s="22" t="str">
        <f t="shared" si="9"/>
        <v>vis</v>
      </c>
      <c r="E53" s="62" t="e">
        <f>VLOOKUP(C53,Active!C$21:E$970,3,FALSE)</f>
        <v>#N/A</v>
      </c>
      <c r="F53" s="5" t="s">
        <v>74</v>
      </c>
      <c r="G53" s="22" t="str">
        <f t="shared" si="10"/>
        <v>51677.439</v>
      </c>
      <c r="H53" s="12">
        <f t="shared" si="11"/>
        <v>21672</v>
      </c>
      <c r="I53" s="63" t="s">
        <v>163</v>
      </c>
      <c r="J53" s="64" t="s">
        <v>164</v>
      </c>
      <c r="K53" s="63">
        <v>21672</v>
      </c>
      <c r="L53" s="63" t="s">
        <v>165</v>
      </c>
      <c r="M53" s="64" t="s">
        <v>166</v>
      </c>
      <c r="N53" s="64"/>
      <c r="O53" s="65" t="s">
        <v>167</v>
      </c>
      <c r="P53" s="66" t="s">
        <v>168</v>
      </c>
    </row>
    <row r="54" spans="1:16" ht="12.75" customHeight="1" thickBot="1">
      <c r="A54" s="12" t="str">
        <f t="shared" si="6"/>
        <v>IBVS 5045 </v>
      </c>
      <c r="B54" s="5" t="str">
        <f t="shared" si="7"/>
        <v>II</v>
      </c>
      <c r="C54" s="12">
        <f t="shared" si="8"/>
        <v>51692.432399999998</v>
      </c>
      <c r="D54" s="22" t="str">
        <f t="shared" si="9"/>
        <v>vis</v>
      </c>
      <c r="E54" s="62">
        <f>VLOOKUP(C54,Active!C$21:E$970,3,FALSE)</f>
        <v>-4462.4958444092072</v>
      </c>
      <c r="F54" s="5" t="s">
        <v>74</v>
      </c>
      <c r="G54" s="22" t="str">
        <f t="shared" si="10"/>
        <v>51692.4324</v>
      </c>
      <c r="H54" s="12">
        <f t="shared" si="11"/>
        <v>21692.5</v>
      </c>
      <c r="I54" s="63" t="s">
        <v>173</v>
      </c>
      <c r="J54" s="64" t="s">
        <v>174</v>
      </c>
      <c r="K54" s="63">
        <v>21692.5</v>
      </c>
      <c r="L54" s="63" t="s">
        <v>175</v>
      </c>
      <c r="M54" s="64" t="s">
        <v>105</v>
      </c>
      <c r="N54" s="64" t="s">
        <v>144</v>
      </c>
      <c r="O54" s="65" t="s">
        <v>176</v>
      </c>
      <c r="P54" s="66" t="s">
        <v>177</v>
      </c>
    </row>
    <row r="55" spans="1:16" ht="12.75" customHeight="1" thickBot="1">
      <c r="A55" s="12" t="str">
        <f t="shared" si="6"/>
        <v>IBVS 5045 </v>
      </c>
      <c r="B55" s="5" t="str">
        <f t="shared" si="7"/>
        <v>I</v>
      </c>
      <c r="C55" s="12">
        <f t="shared" si="8"/>
        <v>51772.472999999998</v>
      </c>
      <c r="D55" s="22" t="str">
        <f t="shared" si="9"/>
        <v>vis</v>
      </c>
      <c r="E55" s="62">
        <f>VLOOKUP(C55,Active!C$21:E$970,3,FALSE)</f>
        <v>-4352.9926410130456</v>
      </c>
      <c r="F55" s="5" t="s">
        <v>74</v>
      </c>
      <c r="G55" s="22" t="str">
        <f t="shared" si="10"/>
        <v>51772.4730</v>
      </c>
      <c r="H55" s="12">
        <f t="shared" si="11"/>
        <v>21802</v>
      </c>
      <c r="I55" s="63" t="s">
        <v>186</v>
      </c>
      <c r="J55" s="64" t="s">
        <v>187</v>
      </c>
      <c r="K55" s="63">
        <v>21802</v>
      </c>
      <c r="L55" s="63" t="s">
        <v>188</v>
      </c>
      <c r="M55" s="64" t="s">
        <v>105</v>
      </c>
      <c r="N55" s="64" t="s">
        <v>144</v>
      </c>
      <c r="O55" s="65" t="s">
        <v>176</v>
      </c>
      <c r="P55" s="66" t="s">
        <v>177</v>
      </c>
    </row>
    <row r="56" spans="1:16" ht="12.75" customHeight="1" thickBot="1">
      <c r="A56" s="12" t="str">
        <f t="shared" si="6"/>
        <v>OEJV 0074 </v>
      </c>
      <c r="B56" s="5" t="str">
        <f t="shared" si="7"/>
        <v>I</v>
      </c>
      <c r="C56" s="12">
        <f t="shared" si="8"/>
        <v>51780.51</v>
      </c>
      <c r="D56" s="22" t="str">
        <f t="shared" si="9"/>
        <v>vis</v>
      </c>
      <c r="E56" s="62" t="e">
        <f>VLOOKUP(C56,Active!C$21:E$970,3,FALSE)</f>
        <v>#N/A</v>
      </c>
      <c r="F56" s="5" t="s">
        <v>74</v>
      </c>
      <c r="G56" s="22" t="str">
        <f t="shared" si="10"/>
        <v>51780.510</v>
      </c>
      <c r="H56" s="12">
        <f t="shared" si="11"/>
        <v>21813</v>
      </c>
      <c r="I56" s="63" t="s">
        <v>189</v>
      </c>
      <c r="J56" s="64" t="s">
        <v>190</v>
      </c>
      <c r="K56" s="63">
        <v>21813</v>
      </c>
      <c r="L56" s="63" t="s">
        <v>191</v>
      </c>
      <c r="M56" s="64" t="s">
        <v>166</v>
      </c>
      <c r="N56" s="64"/>
      <c r="O56" s="65" t="s">
        <v>192</v>
      </c>
      <c r="P56" s="66" t="s">
        <v>168</v>
      </c>
    </row>
    <row r="57" spans="1:16" ht="12.75" customHeight="1" thickBot="1">
      <c r="A57" s="12" t="str">
        <f t="shared" si="6"/>
        <v>OEJV 0074 </v>
      </c>
      <c r="B57" s="5" t="str">
        <f t="shared" si="7"/>
        <v>I</v>
      </c>
      <c r="C57" s="12">
        <f t="shared" si="8"/>
        <v>51783.436000000002</v>
      </c>
      <c r="D57" s="22" t="str">
        <f t="shared" si="9"/>
        <v>vis</v>
      </c>
      <c r="E57" s="62" t="e">
        <f>VLOOKUP(C57,Active!C$21:E$970,3,FALSE)</f>
        <v>#N/A</v>
      </c>
      <c r="F57" s="5" t="s">
        <v>74</v>
      </c>
      <c r="G57" s="22" t="str">
        <f t="shared" si="10"/>
        <v>51783.436</v>
      </c>
      <c r="H57" s="12">
        <f t="shared" si="11"/>
        <v>21817</v>
      </c>
      <c r="I57" s="63" t="s">
        <v>193</v>
      </c>
      <c r="J57" s="64" t="s">
        <v>194</v>
      </c>
      <c r="K57" s="63">
        <v>21817</v>
      </c>
      <c r="L57" s="63" t="s">
        <v>195</v>
      </c>
      <c r="M57" s="64" t="s">
        <v>166</v>
      </c>
      <c r="N57" s="64"/>
      <c r="O57" s="65" t="s">
        <v>192</v>
      </c>
      <c r="P57" s="66" t="s">
        <v>168</v>
      </c>
    </row>
    <row r="58" spans="1:16" ht="12.75" customHeight="1" thickBot="1">
      <c r="A58" s="12" t="str">
        <f t="shared" si="6"/>
        <v>IBVS 5230 </v>
      </c>
      <c r="B58" s="5" t="str">
        <f t="shared" si="7"/>
        <v>I</v>
      </c>
      <c r="C58" s="12">
        <f t="shared" si="8"/>
        <v>52106.512499999997</v>
      </c>
      <c r="D58" s="22" t="str">
        <f t="shared" si="9"/>
        <v>vis</v>
      </c>
      <c r="E58" s="62">
        <f>VLOOKUP(C58,Active!C$21:E$970,3,FALSE)</f>
        <v>-3895.9946261199575</v>
      </c>
      <c r="F58" s="5" t="s">
        <v>74</v>
      </c>
      <c r="G58" s="22" t="str">
        <f t="shared" si="10"/>
        <v>52106.5125</v>
      </c>
      <c r="H58" s="12">
        <f t="shared" si="11"/>
        <v>22259</v>
      </c>
      <c r="I58" s="63" t="s">
        <v>203</v>
      </c>
      <c r="J58" s="64" t="s">
        <v>204</v>
      </c>
      <c r="K58" s="63">
        <v>22259</v>
      </c>
      <c r="L58" s="63" t="s">
        <v>205</v>
      </c>
      <c r="M58" s="64" t="s">
        <v>105</v>
      </c>
      <c r="N58" s="64" t="s">
        <v>206</v>
      </c>
      <c r="O58" s="65" t="s">
        <v>207</v>
      </c>
      <c r="P58" s="66" t="s">
        <v>208</v>
      </c>
    </row>
    <row r="59" spans="1:16" ht="12.75" customHeight="1" thickBot="1">
      <c r="A59" s="12" t="str">
        <f t="shared" si="6"/>
        <v>IBVS 5602 </v>
      </c>
      <c r="B59" s="5" t="str">
        <f t="shared" si="7"/>
        <v>I</v>
      </c>
      <c r="C59" s="12">
        <f t="shared" si="8"/>
        <v>53159.796499999997</v>
      </c>
      <c r="D59" s="22" t="str">
        <f t="shared" si="9"/>
        <v>vis</v>
      </c>
      <c r="E59" s="62">
        <f>VLOOKUP(C59,Active!C$21:E$970,3,FALSE)</f>
        <v>-2455.0012791695117</v>
      </c>
      <c r="F59" s="5" t="s">
        <v>74</v>
      </c>
      <c r="G59" s="22" t="str">
        <f t="shared" si="10"/>
        <v>53159.7965</v>
      </c>
      <c r="H59" s="12">
        <f t="shared" si="11"/>
        <v>23700</v>
      </c>
      <c r="I59" s="63" t="s">
        <v>237</v>
      </c>
      <c r="J59" s="64" t="s">
        <v>238</v>
      </c>
      <c r="K59" s="63">
        <v>23700</v>
      </c>
      <c r="L59" s="63" t="s">
        <v>239</v>
      </c>
      <c r="M59" s="64" t="s">
        <v>105</v>
      </c>
      <c r="N59" s="64" t="s">
        <v>144</v>
      </c>
      <c r="O59" s="65" t="s">
        <v>240</v>
      </c>
      <c r="P59" s="66" t="s">
        <v>241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</sheetData>
  <phoneticPr fontId="8" type="noConversion"/>
  <hyperlinks>
    <hyperlink ref="P11" r:id="rId1" display="http://www.bav-astro.de/sfs/BAVM_link.php?BAVMnr=91" xr:uid="{00000000-0004-0000-0100-000000000000}"/>
    <hyperlink ref="P12" r:id="rId2" display="http://www.bav-astro.de/sfs/BAVM_link.php?BAVMnr=91" xr:uid="{00000000-0004-0000-0100-000001000000}"/>
    <hyperlink ref="P13" r:id="rId3" display="http://www.bav-astro.de/sfs/BAVM_link.php?BAVMnr=91" xr:uid="{00000000-0004-0000-0100-000002000000}"/>
    <hyperlink ref="P14" r:id="rId4" display="http://www.bav-astro.de/sfs/BAVM_link.php?BAVMnr=91" xr:uid="{00000000-0004-0000-0100-000003000000}"/>
    <hyperlink ref="P15" r:id="rId5" display="http://www.bav-astro.de/sfs/BAVM_link.php?BAVMnr=99" xr:uid="{00000000-0004-0000-0100-000004000000}"/>
    <hyperlink ref="P16" r:id="rId6" display="http://www.bav-astro.de/sfs/BAVM_link.php?BAVMnr=99" xr:uid="{00000000-0004-0000-0100-000005000000}"/>
    <hyperlink ref="P17" r:id="rId7" display="http://www.bav-astro.de/sfs/BAVM_link.php?BAVMnr=102" xr:uid="{00000000-0004-0000-0100-000006000000}"/>
    <hyperlink ref="P18" r:id="rId8" display="http://www.bav-astro.de/sfs/BAVM_link.php?BAVMnr=102" xr:uid="{00000000-0004-0000-0100-000007000000}"/>
    <hyperlink ref="P19" r:id="rId9" display="http://www.bav-astro.de/sfs/BAVM_link.php?BAVMnr=117" xr:uid="{00000000-0004-0000-0100-000008000000}"/>
    <hyperlink ref="P20" r:id="rId10" display="http://www.bav-astro.de/sfs/BAVM_link.php?BAVMnr=117" xr:uid="{00000000-0004-0000-0100-000009000000}"/>
    <hyperlink ref="P22" r:id="rId11" display="http://www.bav-astro.de/sfs/BAVM_link.php?BAVMnr=128" xr:uid="{00000000-0004-0000-0100-00000A000000}"/>
    <hyperlink ref="P23" r:id="rId12" display="http://www.konkoly.hu/cgi-bin/IBVS?5027" xr:uid="{00000000-0004-0000-0100-00000B000000}"/>
    <hyperlink ref="P24" r:id="rId13" display="http://www.konkoly.hu/cgi-bin/IBVS?5027" xr:uid="{00000000-0004-0000-0100-00000C000000}"/>
    <hyperlink ref="P25" r:id="rId14" display="http://www.konkoly.hu/cgi-bin/IBVS?5263" xr:uid="{00000000-0004-0000-0100-00000D000000}"/>
    <hyperlink ref="P53" r:id="rId15" display="http://var.astro.cz/oejv/issues/oejv0074.pdf" xr:uid="{00000000-0004-0000-0100-00000E000000}"/>
    <hyperlink ref="P26" r:id="rId16" display="http://www.bav-astro.de/sfs/BAVM_link.php?BAVMnr=152" xr:uid="{00000000-0004-0000-0100-00000F000000}"/>
    <hyperlink ref="P54" r:id="rId17" display="http://www.konkoly.hu/cgi-bin/IBVS?5045" xr:uid="{00000000-0004-0000-0100-000010000000}"/>
    <hyperlink ref="P27" r:id="rId18" display="http://var.astro.cz/oejv/issues/oejv0074.pdf" xr:uid="{00000000-0004-0000-0100-000011000000}"/>
    <hyperlink ref="P28" r:id="rId19" display="http://var.astro.cz/oejv/issues/oejv0074.pdf" xr:uid="{00000000-0004-0000-0100-000012000000}"/>
    <hyperlink ref="P55" r:id="rId20" display="http://www.konkoly.hu/cgi-bin/IBVS?5045" xr:uid="{00000000-0004-0000-0100-000013000000}"/>
    <hyperlink ref="P56" r:id="rId21" display="http://var.astro.cz/oejv/issues/oejv0074.pdf" xr:uid="{00000000-0004-0000-0100-000014000000}"/>
    <hyperlink ref="P57" r:id="rId22" display="http://var.astro.cz/oejv/issues/oejv0074.pdf" xr:uid="{00000000-0004-0000-0100-000015000000}"/>
    <hyperlink ref="P29" r:id="rId23" display="http://www.bav-astro.de/sfs/BAVM_link.php?BAVMnr=152" xr:uid="{00000000-0004-0000-0100-000016000000}"/>
    <hyperlink ref="P30" r:id="rId24" display="http://www.bav-astro.de/sfs/BAVM_link.php?BAVMnr=152" xr:uid="{00000000-0004-0000-0100-000017000000}"/>
    <hyperlink ref="P58" r:id="rId25" display="http://www.konkoly.hu/cgi-bin/IBVS?5230" xr:uid="{00000000-0004-0000-0100-000018000000}"/>
    <hyperlink ref="P31" r:id="rId26" display="http://www.bav-astro.de/sfs/BAVM_link.php?BAVMnr=152" xr:uid="{00000000-0004-0000-0100-000019000000}"/>
    <hyperlink ref="P32" r:id="rId27" display="http://www.bav-astro.de/sfs/BAVM_link.php?BAVMnr=152" xr:uid="{00000000-0004-0000-0100-00001A000000}"/>
    <hyperlink ref="P33" r:id="rId28" display="http://www.bav-astro.de/sfs/BAVM_link.php?BAVMnr=152" xr:uid="{00000000-0004-0000-0100-00001B000000}"/>
    <hyperlink ref="P34" r:id="rId29" display="http://www.konkoly.hu/cgi-bin/IBVS?5434" xr:uid="{00000000-0004-0000-0100-00001C000000}"/>
    <hyperlink ref="P35" r:id="rId30" display="http://www.konkoly.hu/cgi-bin/IBVS?5603" xr:uid="{00000000-0004-0000-0100-00001D000000}"/>
    <hyperlink ref="P37" r:id="rId31" display="http://var.astro.cz/oejv/issues/oejv0074.pdf" xr:uid="{00000000-0004-0000-0100-00001E000000}"/>
    <hyperlink ref="P59" r:id="rId32" display="http://www.konkoly.hu/cgi-bin/IBVS?5602" xr:uid="{00000000-0004-0000-0100-00001F000000}"/>
    <hyperlink ref="P38" r:id="rId33" display="http://www.konkoly.hu/cgi-bin/IBVS?5684" xr:uid="{00000000-0004-0000-0100-000020000000}"/>
    <hyperlink ref="P39" r:id="rId34" display="http://var.astro.cz/oejv/issues/oejv0003.pdf" xr:uid="{00000000-0004-0000-0100-000021000000}"/>
    <hyperlink ref="P40" r:id="rId35" display="http://var.astro.cz/oejv/issues/oejv0074.pdf" xr:uid="{00000000-0004-0000-0100-000022000000}"/>
    <hyperlink ref="P41" r:id="rId36" display="http://www.bav-astro.de/sfs/BAVM_link.php?BAVMnr=178" xr:uid="{00000000-0004-0000-0100-000023000000}"/>
    <hyperlink ref="P42" r:id="rId37" display="http://var.astro.cz/oejv/issues/oejv0003.pdf" xr:uid="{00000000-0004-0000-0100-000024000000}"/>
    <hyperlink ref="P43" r:id="rId38" display="http://www.konkoly.hu/cgi-bin/IBVS?5760" xr:uid="{00000000-0004-0000-0100-000025000000}"/>
    <hyperlink ref="P44" r:id="rId39" display="http://www.konkoly.hu/cgi-bin/IBVS?5979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2025-01-06T04:12:46Z</dcterms:modified>
</cp:coreProperties>
</file>