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B708AE-9569-41E0-999B-EFE5F1C00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9" i="1" l="1"/>
  <c r="F119" i="1" s="1"/>
  <c r="G119" i="1" s="1"/>
  <c r="K119" i="1" s="1"/>
  <c r="Q119" i="1"/>
  <c r="F14" i="1"/>
  <c r="E118" i="1"/>
  <c r="F118" i="1" s="1"/>
  <c r="G118" i="1" s="1"/>
  <c r="K118" i="1" s="1"/>
  <c r="Q118" i="1"/>
  <c r="C9" i="1"/>
  <c r="D9" i="1"/>
  <c r="C17" i="1"/>
  <c r="E21" i="1"/>
  <c r="E56" i="2" s="1"/>
  <c r="Q21" i="1"/>
  <c r="E22" i="1"/>
  <c r="E57" i="2" s="1"/>
  <c r="Q22" i="1"/>
  <c r="E23" i="1"/>
  <c r="F23" i="1" s="1"/>
  <c r="G23" i="1" s="1"/>
  <c r="H23" i="1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/>
  <c r="G28" i="1" s="1"/>
  <c r="H28" i="1" s="1"/>
  <c r="Q28" i="1"/>
  <c r="E29" i="1"/>
  <c r="E64" i="2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70" i="2" s="1"/>
  <c r="Q35" i="1"/>
  <c r="E36" i="1"/>
  <c r="F36" i="1"/>
  <c r="G36" i="1" s="1"/>
  <c r="H36" i="1" s="1"/>
  <c r="Q36" i="1"/>
  <c r="E37" i="1"/>
  <c r="E72" i="2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U41" i="1" s="1"/>
  <c r="Q41" i="1"/>
  <c r="E42" i="1"/>
  <c r="E77" i="2" s="1"/>
  <c r="Q42" i="1"/>
  <c r="E43" i="1"/>
  <c r="F43" i="1" s="1"/>
  <c r="U43" i="1" s="1"/>
  <c r="Q43" i="1"/>
  <c r="E44" i="1"/>
  <c r="F44" i="1" s="1"/>
  <c r="G44" i="1" s="1"/>
  <c r="H44" i="1" s="1"/>
  <c r="Q44" i="1"/>
  <c r="E45" i="1"/>
  <c r="F45" i="1"/>
  <c r="G45" i="1" s="1"/>
  <c r="J45" i="1" s="1"/>
  <c r="Q45" i="1"/>
  <c r="E46" i="1"/>
  <c r="F46" i="1" s="1"/>
  <c r="G46" i="1" s="1"/>
  <c r="J46" i="1" s="1"/>
  <c r="Q46" i="1"/>
  <c r="E47" i="1"/>
  <c r="E12" i="2" s="1"/>
  <c r="F47" i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/>
  <c r="G50" i="1"/>
  <c r="I50" i="1" s="1"/>
  <c r="Q50" i="1"/>
  <c r="E51" i="1"/>
  <c r="F51" i="1" s="1"/>
  <c r="G51" i="1" s="1"/>
  <c r="I51" i="1" s="1"/>
  <c r="Q51" i="1"/>
  <c r="E52" i="1"/>
  <c r="E16" i="2" s="1"/>
  <c r="Q52" i="1"/>
  <c r="E53" i="1"/>
  <c r="F53" i="1"/>
  <c r="G53" i="1"/>
  <c r="I53" i="1" s="1"/>
  <c r="Q53" i="1"/>
  <c r="E54" i="1"/>
  <c r="F54" i="1" s="1"/>
  <c r="G54" i="1" s="1"/>
  <c r="I54" i="1" s="1"/>
  <c r="Q54" i="1"/>
  <c r="E55" i="1"/>
  <c r="E19" i="2" s="1"/>
  <c r="Q55" i="1"/>
  <c r="E56" i="1"/>
  <c r="F56" i="1"/>
  <c r="G56" i="1" s="1"/>
  <c r="J56" i="1" s="1"/>
  <c r="Q56" i="1"/>
  <c r="E57" i="1"/>
  <c r="E21" i="2" s="1"/>
  <c r="Q57" i="1"/>
  <c r="E58" i="1"/>
  <c r="F58" i="1" s="1"/>
  <c r="G58" i="1" s="1"/>
  <c r="J58" i="1" s="1"/>
  <c r="Q58" i="1"/>
  <c r="E59" i="1"/>
  <c r="F59" i="1" s="1"/>
  <c r="G59" i="1" s="1"/>
  <c r="J59" i="1" s="1"/>
  <c r="Q59" i="1"/>
  <c r="E60" i="1"/>
  <c r="F60" i="1"/>
  <c r="G60" i="1" s="1"/>
  <c r="J60" i="1" s="1"/>
  <c r="Q60" i="1"/>
  <c r="E61" i="1"/>
  <c r="F61" i="1" s="1"/>
  <c r="G61" i="1" s="1"/>
  <c r="J61" i="1" s="1"/>
  <c r="Q61" i="1"/>
  <c r="E62" i="1"/>
  <c r="E26" i="2" s="1"/>
  <c r="Q62" i="1"/>
  <c r="E63" i="1"/>
  <c r="F63" i="1"/>
  <c r="G63" i="1" s="1"/>
  <c r="I63" i="1" s="1"/>
  <c r="Q63" i="1"/>
  <c r="E64" i="1"/>
  <c r="F64" i="1" s="1"/>
  <c r="G64" i="1" s="1"/>
  <c r="J64" i="1" s="1"/>
  <c r="Q64" i="1"/>
  <c r="E65" i="1"/>
  <c r="E29" i="2" s="1"/>
  <c r="F65" i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K67" i="1" s="1"/>
  <c r="Q67" i="1"/>
  <c r="E68" i="1"/>
  <c r="F68" i="1"/>
  <c r="G68" i="1"/>
  <c r="J68" i="1" s="1"/>
  <c r="Q68" i="1"/>
  <c r="E69" i="1"/>
  <c r="F69" i="1" s="1"/>
  <c r="G69" i="1" s="1"/>
  <c r="J69" i="1" s="1"/>
  <c r="Q69" i="1"/>
  <c r="E70" i="1"/>
  <c r="E82" i="2" s="1"/>
  <c r="Q70" i="1"/>
  <c r="E71" i="1"/>
  <c r="F71" i="1"/>
  <c r="G71" i="1" s="1"/>
  <c r="J71" i="1" s="1"/>
  <c r="Q71" i="1"/>
  <c r="E72" i="1"/>
  <c r="F72" i="1" s="1"/>
  <c r="G72" i="1" s="1"/>
  <c r="J72" i="1" s="1"/>
  <c r="Q72" i="1"/>
  <c r="E73" i="1"/>
  <c r="E31" i="2" s="1"/>
  <c r="Q73" i="1"/>
  <c r="E74" i="1"/>
  <c r="F74" i="1" s="1"/>
  <c r="G74" i="1" s="1"/>
  <c r="J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E85" i="2" s="1"/>
  <c r="Q78" i="1"/>
  <c r="E79" i="1"/>
  <c r="E36" i="2" s="1"/>
  <c r="Q79" i="1"/>
  <c r="E80" i="1"/>
  <c r="F80" i="1" s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E86" i="2" s="1"/>
  <c r="Q84" i="1"/>
  <c r="E85" i="1"/>
  <c r="F85" i="1" s="1"/>
  <c r="G85" i="1" s="1"/>
  <c r="H85" i="1" s="1"/>
  <c r="Q85" i="1"/>
  <c r="E86" i="1"/>
  <c r="E88" i="2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J93" i="1" s="1"/>
  <c r="Q93" i="1"/>
  <c r="E94" i="1"/>
  <c r="E45" i="2" s="1"/>
  <c r="Q94" i="1"/>
  <c r="E95" i="1"/>
  <c r="F95" i="1"/>
  <c r="G95" i="1" s="1"/>
  <c r="K95" i="1" s="1"/>
  <c r="Q95" i="1"/>
  <c r="E96" i="1"/>
  <c r="E47" i="2" s="1"/>
  <c r="Q96" i="1"/>
  <c r="E97" i="1"/>
  <c r="E48" i="2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J100" i="1" s="1"/>
  <c r="Q100" i="1"/>
  <c r="E101" i="1"/>
  <c r="F101" i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K103" i="1" s="1"/>
  <c r="Q103" i="1"/>
  <c r="E104" i="1"/>
  <c r="E53" i="2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J107" i="1" s="1"/>
  <c r="Q107" i="1"/>
  <c r="E108" i="1"/>
  <c r="F108" i="1" s="1"/>
  <c r="G108" i="1" s="1"/>
  <c r="K108" i="1" s="1"/>
  <c r="Q108" i="1"/>
  <c r="E109" i="1"/>
  <c r="F109" i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A11" i="2"/>
  <c r="B11" i="2"/>
  <c r="D11" i="2"/>
  <c r="G11" i="2"/>
  <c r="C11" i="2"/>
  <c r="E11" i="2"/>
  <c r="H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H16" i="2"/>
  <c r="B16" i="2"/>
  <c r="A17" i="2"/>
  <c r="B17" i="2"/>
  <c r="D17" i="2"/>
  <c r="G17" i="2"/>
  <c r="C17" i="2"/>
  <c r="E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E20" i="2"/>
  <c r="H20" i="2"/>
  <c r="B20" i="2"/>
  <c r="A21" i="2"/>
  <c r="B21" i="2"/>
  <c r="D21" i="2"/>
  <c r="G21" i="2"/>
  <c r="C21" i="2"/>
  <c r="H21" i="2"/>
  <c r="A22" i="2"/>
  <c r="C22" i="2"/>
  <c r="E22" i="2"/>
  <c r="D22" i="2"/>
  <c r="G22" i="2"/>
  <c r="H22" i="2"/>
  <c r="B22" i="2"/>
  <c r="A23" i="2"/>
  <c r="B23" i="2"/>
  <c r="D23" i="2"/>
  <c r="G23" i="2"/>
  <c r="C23" i="2"/>
  <c r="H23" i="2"/>
  <c r="A24" i="2"/>
  <c r="C24" i="2"/>
  <c r="D24" i="2"/>
  <c r="E24" i="2"/>
  <c r="G24" i="2"/>
  <c r="H24" i="2"/>
  <c r="B24" i="2"/>
  <c r="A25" i="2"/>
  <c r="B25" i="2"/>
  <c r="D25" i="2"/>
  <c r="G25" i="2"/>
  <c r="C25" i="2"/>
  <c r="E25" i="2"/>
  <c r="H25" i="2"/>
  <c r="A26" i="2"/>
  <c r="C26" i="2"/>
  <c r="D26" i="2"/>
  <c r="G26" i="2"/>
  <c r="H26" i="2"/>
  <c r="B26" i="2"/>
  <c r="A27" i="2"/>
  <c r="B27" i="2"/>
  <c r="D27" i="2"/>
  <c r="G27" i="2"/>
  <c r="C27" i="2"/>
  <c r="E27" i="2"/>
  <c r="H27" i="2"/>
  <c r="A28" i="2"/>
  <c r="D28" i="2"/>
  <c r="G28" i="2"/>
  <c r="C28" i="2"/>
  <c r="H28" i="2"/>
  <c r="B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C36" i="2"/>
  <c r="D36" i="2"/>
  <c r="G36" i="2"/>
  <c r="H36" i="2"/>
  <c r="B36" i="2"/>
  <c r="A37" i="2"/>
  <c r="B37" i="2"/>
  <c r="D37" i="2"/>
  <c r="G37" i="2"/>
  <c r="C37" i="2"/>
  <c r="E37" i="2"/>
  <c r="H37" i="2"/>
  <c r="A38" i="2"/>
  <c r="C38" i="2"/>
  <c r="E38" i="2"/>
  <c r="D38" i="2"/>
  <c r="G38" i="2"/>
  <c r="H38" i="2"/>
  <c r="B38" i="2"/>
  <c r="A39" i="2"/>
  <c r="B39" i="2"/>
  <c r="D39" i="2"/>
  <c r="G39" i="2"/>
  <c r="C39" i="2"/>
  <c r="E39" i="2"/>
  <c r="H39" i="2"/>
  <c r="A40" i="2"/>
  <c r="C40" i="2"/>
  <c r="D40" i="2"/>
  <c r="E40" i="2"/>
  <c r="G40" i="2"/>
  <c r="H40" i="2"/>
  <c r="B40" i="2"/>
  <c r="A41" i="2"/>
  <c r="B41" i="2"/>
  <c r="D41" i="2"/>
  <c r="G41" i="2"/>
  <c r="C41" i="2"/>
  <c r="E41" i="2"/>
  <c r="H41" i="2"/>
  <c r="A42" i="2"/>
  <c r="D42" i="2"/>
  <c r="F42" i="2"/>
  <c r="G42" i="2"/>
  <c r="C42" i="2"/>
  <c r="H42" i="2"/>
  <c r="B42" i="2"/>
  <c r="A43" i="2"/>
  <c r="D43" i="2"/>
  <c r="F43" i="2"/>
  <c r="G43" i="2"/>
  <c r="C43" i="2"/>
  <c r="H43" i="2"/>
  <c r="B43" i="2"/>
  <c r="A44" i="2"/>
  <c r="D44" i="2"/>
  <c r="F44" i="2"/>
  <c r="G44" i="2"/>
  <c r="C44" i="2"/>
  <c r="E44" i="2"/>
  <c r="H44" i="2"/>
  <c r="B44" i="2"/>
  <c r="A45" i="2"/>
  <c r="D45" i="2"/>
  <c r="F45" i="2"/>
  <c r="G45" i="2"/>
  <c r="C45" i="2"/>
  <c r="H45" i="2"/>
  <c r="B45" i="2"/>
  <c r="A46" i="2"/>
  <c r="D46" i="2"/>
  <c r="F46" i="2"/>
  <c r="G46" i="2"/>
  <c r="C46" i="2"/>
  <c r="E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E49" i="2"/>
  <c r="H49" i="2"/>
  <c r="B49" i="2"/>
  <c r="A50" i="2"/>
  <c r="B50" i="2"/>
  <c r="D50" i="2"/>
  <c r="G50" i="2"/>
  <c r="C50" i="2"/>
  <c r="H50" i="2"/>
  <c r="A51" i="2"/>
  <c r="C51" i="2"/>
  <c r="E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C55" i="2"/>
  <c r="D55" i="2"/>
  <c r="E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C63" i="2"/>
  <c r="D63" i="2"/>
  <c r="E63" i="2"/>
  <c r="G63" i="2"/>
  <c r="H63" i="2"/>
  <c r="B63" i="2"/>
  <c r="A64" i="2"/>
  <c r="B64" i="2"/>
  <c r="D64" i="2"/>
  <c r="G64" i="2"/>
  <c r="C64" i="2"/>
  <c r="H64" i="2"/>
  <c r="A65" i="2"/>
  <c r="C65" i="2"/>
  <c r="D65" i="2"/>
  <c r="E65" i="2"/>
  <c r="G65" i="2"/>
  <c r="H65" i="2"/>
  <c r="B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B68" i="2"/>
  <c r="D68" i="2"/>
  <c r="G68" i="2"/>
  <c r="C68" i="2"/>
  <c r="E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H70" i="2"/>
  <c r="A71" i="2"/>
  <c r="C71" i="2"/>
  <c r="D71" i="2"/>
  <c r="E71" i="2"/>
  <c r="G71" i="2"/>
  <c r="H71" i="2"/>
  <c r="B71" i="2"/>
  <c r="A72" i="2"/>
  <c r="B72" i="2"/>
  <c r="D72" i="2"/>
  <c r="G72" i="2"/>
  <c r="C72" i="2"/>
  <c r="H72" i="2"/>
  <c r="A73" i="2"/>
  <c r="C73" i="2"/>
  <c r="D73" i="2"/>
  <c r="E73" i="2"/>
  <c r="G73" i="2"/>
  <c r="H73" i="2"/>
  <c r="B73" i="2"/>
  <c r="A74" i="2"/>
  <c r="B74" i="2"/>
  <c r="D74" i="2"/>
  <c r="G74" i="2"/>
  <c r="C74" i="2"/>
  <c r="E74" i="2"/>
  <c r="H74" i="2"/>
  <c r="A75" i="2"/>
  <c r="C75" i="2"/>
  <c r="E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E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C87" i="2"/>
  <c r="D87" i="2"/>
  <c r="E87" i="2"/>
  <c r="G87" i="2"/>
  <c r="H87" i="2"/>
  <c r="B87" i="2"/>
  <c r="A88" i="2"/>
  <c r="B88" i="2"/>
  <c r="D88" i="2"/>
  <c r="G88" i="2"/>
  <c r="C88" i="2"/>
  <c r="H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E91" i="2"/>
  <c r="D91" i="2"/>
  <c r="G91" i="2"/>
  <c r="H91" i="2"/>
  <c r="B91" i="2"/>
  <c r="E30" i="2" l="1"/>
  <c r="E33" i="2"/>
  <c r="E54" i="2"/>
  <c r="E23" i="2"/>
  <c r="F55" i="1"/>
  <c r="E34" i="2"/>
  <c r="E43" i="2"/>
  <c r="F96" i="1"/>
  <c r="G96" i="1" s="1"/>
  <c r="J96" i="1" s="1"/>
  <c r="F57" i="1"/>
  <c r="G57" i="1" s="1"/>
  <c r="J57" i="1" s="1"/>
  <c r="E35" i="2"/>
  <c r="E28" i="2"/>
  <c r="F104" i="1"/>
  <c r="G104" i="1" s="1"/>
  <c r="K104" i="1" s="1"/>
  <c r="F84" i="1"/>
  <c r="G84" i="1" s="1"/>
  <c r="H84" i="1" s="1"/>
  <c r="F79" i="1"/>
  <c r="G79" i="1" s="1"/>
  <c r="J79" i="1" s="1"/>
  <c r="F73" i="1"/>
  <c r="G73" i="1" s="1"/>
  <c r="J73" i="1" s="1"/>
  <c r="F35" i="1"/>
  <c r="G35" i="1" s="1"/>
  <c r="H35" i="1" s="1"/>
  <c r="E50" i="2"/>
  <c r="E13" i="2"/>
  <c r="E18" i="2"/>
  <c r="F97" i="1"/>
  <c r="G97" i="1" s="1"/>
  <c r="K97" i="1" s="1"/>
  <c r="F22" i="1"/>
  <c r="G22" i="1" s="1"/>
  <c r="H22" i="1" s="1"/>
  <c r="E42" i="2"/>
  <c r="E32" i="2"/>
  <c r="F15" i="1"/>
  <c r="E52" i="2"/>
  <c r="F94" i="1"/>
  <c r="G94" i="1" s="1"/>
  <c r="K94" i="1" s="1"/>
  <c r="F86" i="1"/>
  <c r="G86" i="1" s="1"/>
  <c r="H86" i="1" s="1"/>
  <c r="F78" i="1"/>
  <c r="G78" i="1" s="1"/>
  <c r="J78" i="1" s="1"/>
  <c r="F70" i="1"/>
  <c r="G70" i="1" s="1"/>
  <c r="J70" i="1" s="1"/>
  <c r="F62" i="1"/>
  <c r="G62" i="1" s="1"/>
  <c r="J62" i="1" s="1"/>
  <c r="F52" i="1"/>
  <c r="G52" i="1" s="1"/>
  <c r="F42" i="1"/>
  <c r="U42" i="1" s="1"/>
  <c r="F37" i="1"/>
  <c r="G37" i="1" s="1"/>
  <c r="H37" i="1" s="1"/>
  <c r="F29" i="1"/>
  <c r="G29" i="1" s="1"/>
  <c r="H29" i="1" s="1"/>
  <c r="F21" i="1"/>
  <c r="G21" i="1" s="1"/>
  <c r="H21" i="1" s="1"/>
  <c r="C11" i="1"/>
  <c r="C12" i="1"/>
  <c r="O119" i="1" l="1"/>
  <c r="O118" i="1"/>
  <c r="C16" i="1"/>
  <c r="D18" i="1" s="1"/>
  <c r="O115" i="1"/>
  <c r="O63" i="1"/>
  <c r="O42" i="1"/>
  <c r="O90" i="1"/>
  <c r="O61" i="1"/>
  <c r="O25" i="1"/>
  <c r="O66" i="1"/>
  <c r="O39" i="1"/>
  <c r="O103" i="1"/>
  <c r="O80" i="1"/>
  <c r="O111" i="1"/>
  <c r="O33" i="1"/>
  <c r="O51" i="1"/>
  <c r="O29" i="1"/>
  <c r="O60" i="1"/>
  <c r="O28" i="1"/>
  <c r="O97" i="1"/>
  <c r="O62" i="1"/>
  <c r="O93" i="1"/>
  <c r="O70" i="1"/>
  <c r="O37" i="1"/>
  <c r="O107" i="1"/>
  <c r="O47" i="1"/>
  <c r="O65" i="1"/>
  <c r="O40" i="1"/>
  <c r="O44" i="1"/>
  <c r="O86" i="1"/>
  <c r="O36" i="1"/>
  <c r="O92" i="1"/>
  <c r="O54" i="1"/>
  <c r="O43" i="1"/>
  <c r="O94" i="1"/>
  <c r="O72" i="1"/>
  <c r="O78" i="1"/>
  <c r="O74" i="1"/>
  <c r="O73" i="1"/>
  <c r="O82" i="1"/>
  <c r="O49" i="1"/>
  <c r="O52" i="1"/>
  <c r="O109" i="1"/>
  <c r="O56" i="1"/>
  <c r="O24" i="1"/>
  <c r="O27" i="1"/>
  <c r="O26" i="1"/>
  <c r="O85" i="1"/>
  <c r="O64" i="1"/>
  <c r="O32" i="1"/>
  <c r="O67" i="1"/>
  <c r="O45" i="1"/>
  <c r="O106" i="1"/>
  <c r="O53" i="1"/>
  <c r="O114" i="1"/>
  <c r="O75" i="1"/>
  <c r="O113" i="1"/>
  <c r="O41" i="1"/>
  <c r="O88" i="1"/>
  <c r="O50" i="1"/>
  <c r="O104" i="1"/>
  <c r="O55" i="1"/>
  <c r="O117" i="1"/>
  <c r="O96" i="1"/>
  <c r="O57" i="1"/>
  <c r="O102" i="1"/>
  <c r="O76" i="1"/>
  <c r="C15" i="1"/>
  <c r="O84" i="1"/>
  <c r="O46" i="1"/>
  <c r="O105" i="1"/>
  <c r="O21" i="1"/>
  <c r="O95" i="1"/>
  <c r="O59" i="1"/>
  <c r="O23" i="1"/>
  <c r="O48" i="1"/>
  <c r="O22" i="1"/>
  <c r="O81" i="1"/>
  <c r="O99" i="1"/>
  <c r="O87" i="1"/>
  <c r="O100" i="1"/>
  <c r="O30" i="1"/>
  <c r="O89" i="1"/>
  <c r="O31" i="1"/>
  <c r="O108" i="1"/>
  <c r="O69" i="1"/>
  <c r="O116" i="1"/>
  <c r="O77" i="1"/>
  <c r="O83" i="1"/>
  <c r="O34" i="1"/>
  <c r="O112" i="1"/>
  <c r="O58" i="1"/>
  <c r="O98" i="1"/>
  <c r="O91" i="1"/>
  <c r="O68" i="1"/>
  <c r="O110" i="1"/>
  <c r="O71" i="1"/>
  <c r="O35" i="1"/>
  <c r="O79" i="1"/>
  <c r="O38" i="1"/>
  <c r="O101" i="1"/>
  <c r="I5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<sst xmlns="http://schemas.openxmlformats.org/spreadsheetml/2006/main" count="891" uniqueCount="430">
  <si>
    <t>V0456 Oph / GSC 01025-01689</t>
  </si>
  <si>
    <t>System Type:</t>
  </si>
  <si>
    <t>EA</t>
  </si>
  <si>
    <t>Sp:  A5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</si>
  <si>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</si>
  <si>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</si>
  <si>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</si>
  <si>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</si>
  <si>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</si>
  <si>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</si>
  <si>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</si>
  <si>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</si>
  <si>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</si>
  <si>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</si>
  <si>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</si>
  <si>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</si>
  <si>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</si>
  <si>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</si>
  <si>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</si>
  <si>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</si>
  <si>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</si>
  <si>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</si>
  <si>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</si>
  <si>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</si>
  <si>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</si>
  <si>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</si>
  <si>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</si>
  <si>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</si>
  <si>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</si>
  <si>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</si>
  <si>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</si>
  <si>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</si>
  <si>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</si>
  <si>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</si>
  <si>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</si>
  <si>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</si>
  <si>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</si>
  <si>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</si>
  <si>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</si>
  <si>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</si>
  <si>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</si>
  <si>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</si>
  <si>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</si>
  <si>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 HB 912.22 </t>
  </si>
  <si>
    <t>II</t>
  </si>
  <si>
    <t> WLVO 15.35 </t>
  </si>
  <si>
    <t>I</t>
  </si>
  <si>
    <t> AC 184.21 </t>
  </si>
  <si>
    <t> AC 187.17 </t>
  </si>
  <si>
    <t>GCVS 4</t>
  </si>
  <si>
    <t>IBVS 0937</t>
  </si>
  <si>
    <t>IBVS 1053</t>
  </si>
  <si>
    <t>BBSAG Bull.56</t>
  </si>
  <si>
    <t>BBSAG Bull.73</t>
  </si>
  <si>
    <t>BBSAG Bull.81</t>
  </si>
  <si>
    <t>BBSAG Bull.83</t>
  </si>
  <si>
    <t>IBVS 4027</t>
  </si>
  <si>
    <t>BBSAG Bull.89</t>
  </si>
  <si>
    <t>BBSAG Bull.96</t>
  </si>
  <si>
    <t>BBSAG Bull.107</t>
  </si>
  <si>
    <t>BAVM 79 </t>
  </si>
  <si>
    <t>IBVS 4380</t>
  </si>
  <si>
    <t>IBVS 4606</t>
  </si>
  <si>
    <t>IBVS 5017</t>
  </si>
  <si>
    <t>JAVSO..41..122</t>
  </si>
  <si>
    <t>IBVS 5809</t>
  </si>
  <si>
    <t>IBVS 5754</t>
  </si>
  <si>
    <t>IBVS 5887</t>
  </si>
  <si>
    <t>IBVS 5931</t>
  </si>
  <si>
    <t>IBVS 5945</t>
  </si>
  <si>
    <t> arXiv 1101.5269 </t>
  </si>
  <si>
    <t>BAVM 225 </t>
  </si>
  <si>
    <t>OEJV 0160</t>
  </si>
  <si>
    <t>IBVS 6029</t>
  </si>
  <si>
    <t>IBVS 6114</t>
  </si>
  <si>
    <t>IBVS 6118</t>
  </si>
  <si>
    <t>IBVS 6149</t>
  </si>
  <si>
    <t>JAVSO..44…69</t>
  </si>
  <si>
    <t>OEJV 0168</t>
  </si>
  <si>
    <t>IBVS 6157</t>
  </si>
  <si>
    <t>OEJV 0179</t>
  </si>
  <si>
    <t>IBVS 6196</t>
  </si>
  <si>
    <t>IBVS 6244</t>
  </si>
  <si>
    <t>JAVSO..47..105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</si>
  <si>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</si>
  <si>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</si>
  <si>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</si>
  <si>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</si>
  <si>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</si>
  <si>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</si>
  <si>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</si>
  <si>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</si>
  <si>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2441897.5340 </t>
  </si>
  <si>
    <t> 03.08.1973 00:48 </t>
  </si>
  <si>
    <t> 0.0020 </t>
  </si>
  <si>
    <t>E </t>
  </si>
  <si>
    <t>?</t>
  </si>
  <si>
    <t> O.Demircan </t>
  </si>
  <si>
    <t>IBVS 937 </t>
  </si>
  <si>
    <t>2441951.3830 </t>
  </si>
  <si>
    <t> 25.09.1973 21:11 </t>
  </si>
  <si>
    <t> 0.0030 </t>
  </si>
  <si>
    <t>2442239.410 </t>
  </si>
  <si>
    <t> 10.07.1974 21:50 </t>
  </si>
  <si>
    <t> -0.035 </t>
  </si>
  <si>
    <t>IBVS 1053 </t>
  </si>
  <si>
    <t>2444814.468 </t>
  </si>
  <si>
    <t> 28.07.1981 23:13 </t>
  </si>
  <si>
    <t> 0.001 </t>
  </si>
  <si>
    <t> R.Diethelm </t>
  </si>
  <si>
    <t> BBS 56 </t>
  </si>
  <si>
    <t>2444842.406 </t>
  </si>
  <si>
    <t> 25.08.1981 21:44 </t>
  </si>
  <si>
    <t> -0.030 </t>
  </si>
  <si>
    <t>2445892.440 </t>
  </si>
  <si>
    <t> 10.07.1984 22:33 </t>
  </si>
  <si>
    <t> -0.002 </t>
  </si>
  <si>
    <t> BBS 73 </t>
  </si>
  <si>
    <t>2446626.511 </t>
  </si>
  <si>
    <t> 15.07.1986 00:15 </t>
  </si>
  <si>
    <t> -0.020 </t>
  </si>
  <si>
    <t>V </t>
  </si>
  <si>
    <t> A.Paschke </t>
  </si>
  <si>
    <t> BBS 81 </t>
  </si>
  <si>
    <t>2446627.521 </t>
  </si>
  <si>
    <t> 16.07.1986 00:30 </t>
  </si>
  <si>
    <t> -0.026 </t>
  </si>
  <si>
    <t>2446917.618 </t>
  </si>
  <si>
    <t> 02.05.1987 02:49 </t>
  </si>
  <si>
    <t> 0.032 </t>
  </si>
  <si>
    <t> BBS 83 </t>
  </si>
  <si>
    <t>2447346.3411 </t>
  </si>
  <si>
    <t> 03.07.1988 20:11 </t>
  </si>
  <si>
    <t> 0.0032 </t>
  </si>
  <si>
    <t> G.Kahraman </t>
  </si>
  <si>
    <t>IBVS 4027 </t>
  </si>
  <si>
    <t>2447347.3579 </t>
  </si>
  <si>
    <t> 04.07.1988 20:35 </t>
  </si>
  <si>
    <t> 0.0040 </t>
  </si>
  <si>
    <t>2447348.3730 </t>
  </si>
  <si>
    <t> 05.07.1988 20:57 </t>
  </si>
  <si>
    <t> 0.0031 </t>
  </si>
  <si>
    <t> Z.Müyesseroglu </t>
  </si>
  <si>
    <t>2447349.3903 </t>
  </si>
  <si>
    <t> 06.07.1988 21:22 </t>
  </si>
  <si>
    <t> 0.0044 </t>
  </si>
  <si>
    <t>2447351.4211 </t>
  </si>
  <si>
    <t> 08.07.1988 22:06 </t>
  </si>
  <si>
    <t> F.F.Özeren </t>
  </si>
  <si>
    <t>2447377.3338 </t>
  </si>
  <si>
    <t> 03.08.1988 20:00 </t>
  </si>
  <si>
    <t> -0.0210 </t>
  </si>
  <si>
    <t> O.Selam </t>
  </si>
  <si>
    <t>2447382.4136 </t>
  </si>
  <si>
    <t> 08.08.1988 21:55 </t>
  </si>
  <si>
    <t> -0.0212 </t>
  </si>
  <si>
    <t> A.Akalin </t>
  </si>
  <si>
    <t>2447412.385 </t>
  </si>
  <si>
    <t> 07.09.1988 21:14 </t>
  </si>
  <si>
    <t> 0.007 </t>
  </si>
  <si>
    <t> BBS 89 </t>
  </si>
  <si>
    <t>2447732.4223 </t>
  </si>
  <si>
    <t> 24.07.1989 22:08 </t>
  </si>
  <si>
    <t> 0.0046 </t>
  </si>
  <si>
    <t>2448113.421 </t>
  </si>
  <si>
    <t> 09.08.1990 22:06 </t>
  </si>
  <si>
    <t> 0.003 </t>
  </si>
  <si>
    <t> BBS 96 </t>
  </si>
  <si>
    <t>2449511.4510 </t>
  </si>
  <si>
    <t> 07.06.1994 22:49 </t>
  </si>
  <si>
    <t> 0.0180 </t>
  </si>
  <si>
    <t>B</t>
  </si>
  <si>
    <t> BBS 107 </t>
  </si>
  <si>
    <t>2450653.4324 </t>
  </si>
  <si>
    <t> 23.07.1997 22:22 </t>
  </si>
  <si>
    <t> 0.0158 </t>
  </si>
  <si>
    <t>o</t>
  </si>
  <si>
    <t> W.Kleikamp </t>
  </si>
  <si>
    <t>BAVM 111 </t>
  </si>
  <si>
    <t>2451354.4711 </t>
  </si>
  <si>
    <t> 24.06.1999 23:18 </t>
  </si>
  <si>
    <t> 0.0148 </t>
  </si>
  <si>
    <t>-I</t>
  </si>
  <si>
    <t>BAVM 133 </t>
  </si>
  <si>
    <t>2452503.5653 </t>
  </si>
  <si>
    <t> 17.08.2002 01:34 </t>
  </si>
  <si>
    <t>10439</t>
  </si>
  <si>
    <t> 0.0135 </t>
  </si>
  <si>
    <t>C </t>
  </si>
  <si>
    <t> S.Dvorak </t>
  </si>
  <si>
    <t> JAAVSO 41;122 </t>
  </si>
  <si>
    <t>2453089.7944 </t>
  </si>
  <si>
    <t> 25.03.2004 07:03 </t>
  </si>
  <si>
    <t>11016</t>
  </si>
  <si>
    <t> 0.0108 </t>
  </si>
  <si>
    <t> P.Sobotka (ESA INTEGRAL) </t>
  </si>
  <si>
    <t>IBVS 5809 </t>
  </si>
  <si>
    <t>2453091.8267 </t>
  </si>
  <si>
    <t> 27.03.2004 07:50 </t>
  </si>
  <si>
    <t>11018</t>
  </si>
  <si>
    <t> 0.0111 </t>
  </si>
  <si>
    <t>2454649.3582 </t>
  </si>
  <si>
    <t> 01.07.2008 20:35 </t>
  </si>
  <si>
    <t>12551</t>
  </si>
  <si>
    <t> 0.0152 </t>
  </si>
  <si>
    <t>B;V</t>
  </si>
  <si>
    <t> N.Alan &amp; A.Demirtop </t>
  </si>
  <si>
    <t>IBVS 5887 </t>
  </si>
  <si>
    <t>2454742.8314 </t>
  </si>
  <si>
    <t> 03.10.2008 07:57 </t>
  </si>
  <si>
    <t>12643</t>
  </si>
  <si>
    <t> 0.0165 </t>
  </si>
  <si>
    <t> P.Zasche (ESA INTEGRAL) </t>
  </si>
  <si>
    <t>IBVS 5931 </t>
  </si>
  <si>
    <t>2454766.7134 </t>
  </si>
  <si>
    <t> 27.10.2008 05:07 </t>
  </si>
  <si>
    <t>12666.5</t>
  </si>
  <si>
    <t> -0.0065 </t>
  </si>
  <si>
    <t>2454769.7640 </t>
  </si>
  <si>
    <t> 30.10.2008 06:20 </t>
  </si>
  <si>
    <t>12669.5</t>
  </si>
  <si>
    <t> -0.0039 </t>
  </si>
  <si>
    <t>2455342.7859 </t>
  </si>
  <si>
    <t> 26.05.2010 06:51 </t>
  </si>
  <si>
    <t>13233.5</t>
  </si>
  <si>
    <t> -0.0058 </t>
  </si>
  <si>
    <t>IBVS 5945 </t>
  </si>
  <si>
    <t>2455766.45493 </t>
  </si>
  <si>
    <t> 23.07.2011 22:55 </t>
  </si>
  <si>
    <t>13650.5</t>
  </si>
  <si>
    <t> -0.00857 </t>
  </si>
  <si>
    <t> J.Trnka </t>
  </si>
  <si>
    <t>OEJV 0160 </t>
  </si>
  <si>
    <t>2456078.8733 </t>
  </si>
  <si>
    <t> 31.05.2012 08:57 </t>
  </si>
  <si>
    <t>13958</t>
  </si>
  <si>
    <t> 0.0189 </t>
  </si>
  <si>
    <t>IBVS 6029 </t>
  </si>
  <si>
    <t>2456471.55608 </t>
  </si>
  <si>
    <t> 28.06.2013 01:20 </t>
  </si>
  <si>
    <t>14344.5</t>
  </si>
  <si>
    <t> -0.01114 </t>
  </si>
  <si>
    <t> H.Kucáková </t>
  </si>
  <si>
    <t>IBVS 6114 </t>
  </si>
  <si>
    <t>2456495.4332 </t>
  </si>
  <si>
    <t> 21.07.2013 22:23 </t>
  </si>
  <si>
    <t>14368</t>
  </si>
  <si>
    <t> F.Agerer </t>
  </si>
  <si>
    <t>BAVM 234 </t>
  </si>
  <si>
    <t>2456497.46596 </t>
  </si>
  <si>
    <t> 23.07.2013 23:10 </t>
  </si>
  <si>
    <t>14370</t>
  </si>
  <si>
    <t> 0.01971 </t>
  </si>
  <si>
    <t>2456497.46617 </t>
  </si>
  <si>
    <t> 23.07.2013 23:11 </t>
  </si>
  <si>
    <t> 0.01992 </t>
  </si>
  <si>
    <t> M.Mašek </t>
  </si>
  <si>
    <t>2456527.4356 </t>
  </si>
  <si>
    <t> 22.08.2013 22:27 </t>
  </si>
  <si>
    <t>14399.5</t>
  </si>
  <si>
    <t> -0.0116 </t>
  </si>
  <si>
    <t>2456582.29963 </t>
  </si>
  <si>
    <t> 16.10.2013 19:11 </t>
  </si>
  <si>
    <t>14453.5</t>
  </si>
  <si>
    <t> -0.01154 </t>
  </si>
  <si>
    <t>2456728.60346 </t>
  </si>
  <si>
    <t> 12.03.2014 02:28 </t>
  </si>
  <si>
    <t>14597.5</t>
  </si>
  <si>
    <t> -0.01166 </t>
  </si>
  <si>
    <t>R</t>
  </si>
  <si>
    <t> P.Zasche </t>
  </si>
  <si>
    <t>2456814.45986 </t>
  </si>
  <si>
    <t> 05.06.2014 23:02 </t>
  </si>
  <si>
    <t>14682</t>
  </si>
  <si>
    <t> 0.02173 </t>
  </si>
  <si>
    <t>2456815.4763 </t>
  </si>
  <si>
    <t> 06.06.2014 23:25 </t>
  </si>
  <si>
    <t>14683</t>
  </si>
  <si>
    <t> 0.0222 </t>
  </si>
  <si>
    <t>BAVM 238 </t>
  </si>
  <si>
    <t>2456842.39531 </t>
  </si>
  <si>
    <t> 03.07.2014 21:29 </t>
  </si>
  <si>
    <t>14709.5</t>
  </si>
  <si>
    <t> -0.01176 </t>
  </si>
  <si>
    <t>2456876.43658 </t>
  </si>
  <si>
    <t> 06.08.2014 22:28 </t>
  </si>
  <si>
    <t>14743</t>
  </si>
  <si>
    <t> 0.02248 </t>
  </si>
  <si>
    <t> M.Masek </t>
  </si>
  <si>
    <t>2456878.46847 </t>
  </si>
  <si>
    <t> 08.08.2014 23:14 </t>
  </si>
  <si>
    <t>14745</t>
  </si>
  <si>
    <t> 0.02237 </t>
  </si>
  <si>
    <t>2457198.5113 </t>
  </si>
  <si>
    <t> 25.06.2015 00:16 </t>
  </si>
  <si>
    <t>15060</t>
  </si>
  <si>
    <t> 0.0253 </t>
  </si>
  <si>
    <t>BAVM 241 (=IBVS 6157) </t>
  </si>
  <si>
    <t>2428422.298 </t>
  </si>
  <si>
    <t> 10.09.1936 19:09 </t>
  </si>
  <si>
    <t> -19.872 </t>
  </si>
  <si>
    <t>F </t>
  </si>
  <si>
    <t> L.Jacchia </t>
  </si>
  <si>
    <t>2429736.520 </t>
  </si>
  <si>
    <t> 17.04.1940 00:28 </t>
  </si>
  <si>
    <t> -19.817 </t>
  </si>
  <si>
    <t>P </t>
  </si>
  <si>
    <t> Y.T.Kapko </t>
  </si>
  <si>
    <t>2429738.547 </t>
  </si>
  <si>
    <t> 19.04.1940 01:07 </t>
  </si>
  <si>
    <t> -19.822 </t>
  </si>
  <si>
    <t>2429789.369 </t>
  </si>
  <si>
    <t> 08.06.1940 20:51 </t>
  </si>
  <si>
    <t> -19.800 </t>
  </si>
  <si>
    <t>2429790.370 </t>
  </si>
  <si>
    <t> 09.06.1940 20:52 </t>
  </si>
  <si>
    <t> -19.815 </t>
  </si>
  <si>
    <t>2429852.372 </t>
  </si>
  <si>
    <t> 10.08.1940 20:55 </t>
  </si>
  <si>
    <t> -19.789 </t>
  </si>
  <si>
    <t>2429881.304 </t>
  </si>
  <si>
    <t> 08.09.1940 19:17 </t>
  </si>
  <si>
    <t> -19.842 </t>
  </si>
  <si>
    <t>2430143.428 </t>
  </si>
  <si>
    <t> 28.05.1941 22:16 </t>
  </si>
  <si>
    <t> -19.846 </t>
  </si>
  <si>
    <t>2430146.425 </t>
  </si>
  <si>
    <t> 31.05.1941 22:12 </t>
  </si>
  <si>
    <t> -19.897 </t>
  </si>
  <si>
    <t>2430146.451 </t>
  </si>
  <si>
    <t> 31.05.1941 22:49 </t>
  </si>
  <si>
    <t> -19.871 </t>
  </si>
  <si>
    <t>2430147.487 </t>
  </si>
  <si>
    <t> 01.06.1941 23:41 </t>
  </si>
  <si>
    <t> -19.851 </t>
  </si>
  <si>
    <t>2430468.535 </t>
  </si>
  <si>
    <t> 19.04.1942 00:50 </t>
  </si>
  <si>
    <t> -19.858 </t>
  </si>
  <si>
    <t>2430792.599 </t>
  </si>
  <si>
    <t> 09.03.1943 02:22 </t>
  </si>
  <si>
    <t> -19.898 </t>
  </si>
  <si>
    <t>2430849.502 </t>
  </si>
  <si>
    <t> 05.05.1943 00:02 </t>
  </si>
  <si>
    <t> -19.891 </t>
  </si>
  <si>
    <t>2430964.326 </t>
  </si>
  <si>
    <t> 27.08.1943 19:49 </t>
  </si>
  <si>
    <t> -19.875 </t>
  </si>
  <si>
    <t>2430964.352 </t>
  </si>
  <si>
    <t> 27.08.1943 20:26 </t>
  </si>
  <si>
    <t> -19.849 </t>
  </si>
  <si>
    <t>2430991.307 </t>
  </si>
  <si>
    <t> 23.09.1943 19:22 </t>
  </si>
  <si>
    <t>2430992.272 </t>
  </si>
  <si>
    <t> 24.09.1943 18:31 </t>
  </si>
  <si>
    <t> -19.840 </t>
  </si>
  <si>
    <t>2430993.298 </t>
  </si>
  <si>
    <t> 25.09.1943 19:09 </t>
  </si>
  <si>
    <t> -19.830 </t>
  </si>
  <si>
    <t>2431019.238 </t>
  </si>
  <si>
    <t> 21.10.1943 17:42 </t>
  </si>
  <si>
    <t> -19.827 </t>
  </si>
  <si>
    <t>2436050.348 </t>
  </si>
  <si>
    <t> 30.07.1957 20:21 </t>
  </si>
  <si>
    <t> -0.106 </t>
  </si>
  <si>
    <t> V.Makarov </t>
  </si>
  <si>
    <t>2436050.355 </t>
  </si>
  <si>
    <t> 30.07.1957 20:31 </t>
  </si>
  <si>
    <t> -0.099 </t>
  </si>
  <si>
    <t> Y.Panayoti </t>
  </si>
  <si>
    <t>2436053.408 </t>
  </si>
  <si>
    <t> 02.08.1957 21:47 </t>
  </si>
  <si>
    <t> -0.094 </t>
  </si>
  <si>
    <t>2449515.512 </t>
  </si>
  <si>
    <t> 12.06.1994 00:17 </t>
  </si>
  <si>
    <t> 0.015 </t>
  </si>
  <si>
    <t> R.Baule </t>
  </si>
  <si>
    <t>2449539.3775 </t>
  </si>
  <si>
    <t> 05.07.1994 21:03 </t>
  </si>
  <si>
    <t> -0.0244 </t>
  </si>
  <si>
    <t> B.Gürol </t>
  </si>
  <si>
    <t>IBVS 4380/4670 </t>
  </si>
  <si>
    <t>2449546.4921 </t>
  </si>
  <si>
    <t> 12.07.1994 23:48 </t>
  </si>
  <si>
    <t> -0.0218 </t>
  </si>
  <si>
    <t>2449567.3290 </t>
  </si>
  <si>
    <t> 02.08.1994 19:53 </t>
  </si>
  <si>
    <t> 0.0160 </t>
  </si>
  <si>
    <t>2450269.3834 </t>
  </si>
  <si>
    <t> 04.07.1996 21:12 </t>
  </si>
  <si>
    <t> 0.0147 </t>
  </si>
  <si>
    <t>2450274.4634 </t>
  </si>
  <si>
    <t> 09.07.1996 23:07 </t>
  </si>
  <si>
    <t>2453894.4647 </t>
  </si>
  <si>
    <t> 07.06.2006 23:09 </t>
  </si>
  <si>
    <t>11808</t>
  </si>
  <si>
    <t> 0.0094 </t>
  </si>
  <si>
    <t> H.V. Senavci et al. </t>
  </si>
  <si>
    <t>IBVS 5754 </t>
  </si>
  <si>
    <t>2455352.42998 </t>
  </si>
  <si>
    <t> 04.06.2010 22:19 </t>
  </si>
  <si>
    <t>13243</t>
  </si>
  <si>
    <t> 0.01528 </t>
  </si>
  <si>
    <t> P.Zasche &amp; M.Wolf </t>
  </si>
  <si>
    <t>2455356.49413 </t>
  </si>
  <si>
    <t> 08.06.2010 23:51 </t>
  </si>
  <si>
    <t>13247</t>
  </si>
  <si>
    <t> 0.01543 </t>
  </si>
  <si>
    <t>2455357.51014 </t>
  </si>
  <si>
    <t> 10.06.2010 00:14 </t>
  </si>
  <si>
    <t>13248</t>
  </si>
  <si>
    <t> 0.01544 </t>
  </si>
  <si>
    <t>2455379.36085 </t>
  </si>
  <si>
    <t> 01.07.2010 20:39 </t>
  </si>
  <si>
    <t>13269.5</t>
  </si>
  <si>
    <t> -0.00680 </t>
  </si>
  <si>
    <t>2455382.40909 </t>
  </si>
  <si>
    <t> 04.07.2010 21:49 </t>
  </si>
  <si>
    <t>13272.5</t>
  </si>
  <si>
    <t> -0.00656 </t>
  </si>
  <si>
    <t>2455676.5346 </t>
  </si>
  <si>
    <t> 25.04.2011 00:49 </t>
  </si>
  <si>
    <t>13562</t>
  </si>
  <si>
    <t> M.&amp; K.Rätz </t>
  </si>
  <si>
    <t>JBAV, 60</t>
  </si>
  <si>
    <t>JBAV 96</t>
  </si>
  <si>
    <t>Next ToM-P</t>
  </si>
  <si>
    <t>Next ToM-S</t>
  </si>
  <si>
    <t>10.00-10.90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</si>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</sst>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2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3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1" xfId="0" applyBorder="1">
      <alignment vertical="top"/>
    </xf>
    <xf numFmtId="165" fontId="9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/>
    <xf numFmtId="166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2" fillId="0" borderId="0" xfId="8" applyFont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2" fillId="0" borderId="0" xfId="8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7" applyFont="1"/>
    <xf numFmtId="0" fontId="5" fillId="0" borderId="0" xfId="7" applyFont="1" applyAlignment="1">
      <alignment horizontal="center"/>
    </xf>
    <xf numFmtId="0" fontId="5" fillId="0" borderId="0" xfId="7" applyFont="1" applyAlignment="1">
      <alignment horizontal="left"/>
    </xf>
    <xf numFmtId="0" fontId="5" fillId="0" borderId="0" xfId="6" applyFont="1" applyAlignment="1">
      <alignment wrapText="1"/>
    </xf>
    <xf numFmtId="0" fontId="5" fillId="0" borderId="0" xfId="6" applyFont="1" applyAlignment="1">
      <alignment horizontal="center" wrapText="1"/>
    </xf>
    <xf numFmtId="0" fontId="5" fillId="0" borderId="0" xfId="6" applyFont="1" applyAlignment="1">
      <alignment horizontal="left" wrapText="1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 wrapText="1"/>
    </xf>
    <xf numFmtId="0" fontId="14" fillId="0" borderId="0" xfId="9" applyFont="1" applyAlignment="1">
      <alignment horizontal="left" wrapText="1"/>
    </xf>
    <xf numFmtId="0" fontId="14" fillId="0" borderId="0" xfId="9" applyFont="1" applyAlignment="1">
      <alignment horizontal="center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6" fillId="2" borderId="10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19" fillId="0" borderId="14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7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V0456 Oph - O-C Diagr.</a:t>
            </a:r>
          </a:p>
        </c:rich>
      </c:tx>
      <c:layout>
        <c:manualLayout>
          <c:xMode val="edge"/>
          <c:yMode val="edge"/>
          <c:x val="0.3570278028655141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7243670470108"/>
          <c:y val="0.12604166666666666"/>
          <c:w val="0.80560110923129746"/>
          <c:h val="0.64895833333333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Active!$F$21:$F$1017</c:f>
              <c:numCache>
                <c:formatCode>General</c:formatCode>
                <c:ptCount val="9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  <c:pt idx="97">
                  <c:v>5372.5</c:v>
                </c:pt>
                <c:pt idx="98">
                  <c:v>6096</c:v>
                </c:pt>
              </c:numCache>
            </c:numRef>
          </c:xVal>
          <c:yVal>
            <c:numRef>
              <c:f>Active!$H$21:$H$1017</c:f>
              <c:numCache>
                <c:formatCode>General</c:formatCode>
                <c:ptCount val="997"/>
                <c:pt idx="0">
                  <c:v>-6.676000000879867E-3</c:v>
                </c:pt>
                <c:pt idx="1">
                  <c:v>1.7720060001011007E-2</c:v>
                </c:pt>
                <c:pt idx="2">
                  <c:v>1.2717580000753514E-2</c:v>
                </c:pt>
                <c:pt idx="3">
                  <c:v>3.4655579998798203E-2</c:v>
                </c:pt>
                <c:pt idx="4">
                  <c:v>1.965434000157984E-2</c:v>
                </c:pt>
                <c:pt idx="5">
                  <c:v>4.5578699999168748E-2</c:v>
                </c:pt>
                <c:pt idx="6">
                  <c:v>2.1543360002397094E-2</c:v>
                </c:pt>
                <c:pt idx="7">
                  <c:v>1.7223440001544077E-2</c:v>
                </c:pt>
                <c:pt idx="8">
                  <c:v>-3.3780279998609331E-2</c:v>
                </c:pt>
                <c:pt idx="9">
                  <c:v>-7.7802799969504122E-3</c:v>
                </c:pt>
                <c:pt idx="10">
                  <c:v>1.2218480002047727E-2</c:v>
                </c:pt>
                <c:pt idx="11">
                  <c:v>3.8266400006250478E-3</c:v>
                </c:pt>
                <c:pt idx="12">
                  <c:v>-3.6568920000718208E-2</c:v>
                </c:pt>
                <c:pt idx="13">
                  <c:v>-2.9638359999808017E-2</c:v>
                </c:pt>
                <c:pt idx="14">
                  <c:v>-1.37784799990186E-2</c:v>
                </c:pt>
                <c:pt idx="15">
                  <c:v>1.2221519999002339E-2</c:v>
                </c:pt>
                <c:pt idx="16">
                  <c:v>4.3188660001760582E-2</c:v>
                </c:pt>
                <c:pt idx="17">
                  <c:v>-7.8125799991539679E-3</c:v>
                </c:pt>
                <c:pt idx="18">
                  <c:v>2.1861800014448818E-3</c:v>
                </c:pt>
                <c:pt idx="19">
                  <c:v>3.415456000220729E-2</c:v>
                </c:pt>
                <c:pt idx="23">
                  <c:v>2.8778799969586544E-3</c:v>
                </c:pt>
                <c:pt idx="63">
                  <c:v>-3.5634399973787367E-3</c:v>
                </c:pt>
                <c:pt idx="64">
                  <c:v>-3.4184000032837503E-3</c:v>
                </c:pt>
                <c:pt idx="65">
                  <c:v>-3.4096399976988323E-3</c:v>
                </c:pt>
                <c:pt idx="66">
                  <c:v>3.2737000001361594E-3</c:v>
                </c:pt>
                <c:pt idx="67">
                  <c:v>3.5099800006719306E-3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12-4767-8F68-B235217046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Active!$F$21:$F$1017</c:f>
              <c:numCache>
                <c:formatCode>General</c:formatCode>
                <c:ptCount val="9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  <c:pt idx="97">
                  <c:v>5372.5</c:v>
                </c:pt>
                <c:pt idx="98">
                  <c:v>6096</c:v>
                </c:pt>
              </c:numCache>
            </c:numRef>
          </c:xVal>
          <c:yVal>
            <c:numRef>
              <c:f>Active!$I$21:$I$1017</c:f>
              <c:numCache>
                <c:formatCode>General</c:formatCode>
                <c:ptCount val="997"/>
                <c:pt idx="29">
                  <c:v>-6.8215999635867774E-4</c:v>
                </c:pt>
                <c:pt idx="30">
                  <c:v>-2.7162599944858812E-3</c:v>
                </c:pt>
                <c:pt idx="31">
                  <c:v>-5.9977999990223907E-3</c:v>
                </c:pt>
                <c:pt idx="32">
                  <c:v>4.1063000026042573E-3</c:v>
                </c:pt>
                <c:pt idx="33">
                  <c:v>-1.8949399964185432E-3</c:v>
                </c:pt>
                <c:pt idx="42">
                  <c:v>1.1471600009826943E-3</c:v>
                </c:pt>
                <c:pt idx="44">
                  <c:v>-3.708439995534718E-3</c:v>
                </c:pt>
                <c:pt idx="45">
                  <c:v>8.5853199998382479E-3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12-4767-8F68-B235217046F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Active!$F$21:$F$1017</c:f>
              <c:numCache>
                <c:formatCode>General</c:formatCode>
                <c:ptCount val="9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  <c:pt idx="97">
                  <c:v>5372.5</c:v>
                </c:pt>
                <c:pt idx="98">
                  <c:v>6096</c:v>
                </c:pt>
              </c:numCache>
            </c:numRef>
          </c:xVal>
          <c:yVal>
            <c:numRef>
              <c:f>Active!$J$21:$J$1017</c:f>
              <c:numCache>
                <c:formatCode>General</c:formatCode>
                <c:ptCount val="997"/>
                <c:pt idx="24">
                  <c:v>4.877879997366108E-3</c:v>
                </c:pt>
                <c:pt idx="25">
                  <c:v>5.1778799970634282E-3</c:v>
                </c:pt>
                <c:pt idx="26">
                  <c:v>5.8121600013691932E-3</c:v>
                </c:pt>
                <c:pt idx="27">
                  <c:v>6.312160003290046E-3</c:v>
                </c:pt>
                <c:pt idx="28">
                  <c:v>-3.539379991707392E-3</c:v>
                </c:pt>
                <c:pt idx="35">
                  <c:v>-2.6722399998106994E-3</c:v>
                </c:pt>
                <c:pt idx="36">
                  <c:v>-1.873479995992966E-3</c:v>
                </c:pt>
                <c:pt idx="37">
                  <c:v>-2.7747200001613237E-3</c:v>
                </c:pt>
                <c:pt idx="38">
                  <c:v>-1.4759600016986951E-3</c:v>
                </c:pt>
                <c:pt idx="39">
                  <c:v>-2.6784400033648126E-3</c:v>
                </c:pt>
                <c:pt idx="40">
                  <c:v>1.9899399994756095E-3</c:v>
                </c:pt>
                <c:pt idx="41">
                  <c:v>1.7837400009739213E-3</c:v>
                </c:pt>
                <c:pt idx="43">
                  <c:v>-1.9434400019235909E-3</c:v>
                </c:pt>
                <c:pt idx="47">
                  <c:v>-4.9487799988128245E-3</c:v>
                </c:pt>
                <c:pt idx="48">
                  <c:v>-2.3574599981657229E-3</c:v>
                </c:pt>
                <c:pt idx="49">
                  <c:v>6.517119996715337E-3</c:v>
                </c:pt>
                <c:pt idx="50">
                  <c:v>4.0602799999760464E-3</c:v>
                </c:pt>
                <c:pt idx="51">
                  <c:v>4.0540800036978908E-3</c:v>
                </c:pt>
                <c:pt idx="52">
                  <c:v>4.591559998516459E-3</c:v>
                </c:pt>
                <c:pt idx="53">
                  <c:v>2.4359600065508857E-3</c:v>
                </c:pt>
                <c:pt idx="57">
                  <c:v>-7.0640400008414872E-3</c:v>
                </c:pt>
                <c:pt idx="58">
                  <c:v>-2.4853599970811047E-3</c:v>
                </c:pt>
                <c:pt idx="72">
                  <c:v>-1.7384399980073795E-3</c:v>
                </c:pt>
                <c:pt idx="75">
                  <c:v>-3.3775000047171488E-3</c:v>
                </c:pt>
                <c:pt idx="79">
                  <c:v>9.7096000536112115E-4</c:v>
                </c:pt>
                <c:pt idx="86">
                  <c:v>3.503480002109427E-3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12-4767-8F68-B235217046F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Active!$F$21:$F$1017</c:f>
              <c:numCache>
                <c:formatCode>General</c:formatCode>
                <c:ptCount val="9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  <c:pt idx="97">
                  <c:v>5372.5</c:v>
                </c:pt>
                <c:pt idx="98">
                  <c:v>6096</c:v>
                </c:pt>
              </c:numCache>
            </c:numRef>
          </c:xVal>
          <c:yVal>
            <c:numRef>
              <c:f>Active!$K$21:$K$1017</c:f>
              <c:numCache>
                <c:formatCode>General</c:formatCode>
                <c:ptCount val="997"/>
                <c:pt idx="46">
                  <c:v>5.5803600043873303E-3</c:v>
                </c:pt>
                <c:pt idx="54">
                  <c:v>-7.6647999958368018E-4</c:v>
                </c:pt>
                <c:pt idx="55">
                  <c:v>-4.3819600032293238E-3</c:v>
                </c:pt>
                <c:pt idx="56">
                  <c:v>-4.0844399991328828E-3</c:v>
                </c:pt>
                <c:pt idx="59">
                  <c:v>-1.3994399996590801E-3</c:v>
                </c:pt>
                <c:pt idx="60">
                  <c:v>4.571420002321247E-3</c:v>
                </c:pt>
                <c:pt idx="61">
                  <c:v>7.1677000014460646E-3</c:v>
                </c:pt>
                <c:pt idx="62">
                  <c:v>4.3683399999281392E-3</c:v>
                </c:pt>
                <c:pt idx="68">
                  <c:v>-3.3390000025974587E-3</c:v>
                </c:pt>
                <c:pt idx="69">
                  <c:v>8.8125999900512397E-4</c:v>
                </c:pt>
                <c:pt idx="70">
                  <c:v>-1.1300400001346134E-3</c:v>
                </c:pt>
                <c:pt idx="71">
                  <c:v>-2.8292999995755963E-3</c:v>
                </c:pt>
                <c:pt idx="73">
                  <c:v>-9.8091999825555831E-4</c:v>
                </c:pt>
                <c:pt idx="74">
                  <c:v>-7.7091999992262572E-4</c:v>
                </c:pt>
                <c:pt idx="76">
                  <c:v>-3.4144599994760938E-3</c:v>
                </c:pt>
                <c:pt idx="77">
                  <c:v>-3.7630200022249483E-3</c:v>
                </c:pt>
                <c:pt idx="78">
                  <c:v>5.3220000700093806E-4</c:v>
                </c:pt>
                <c:pt idx="80">
                  <c:v>9.5359999977517873E-4</c:v>
                </c:pt>
                <c:pt idx="81">
                  <c:v>-4.0518999958294444E-3</c:v>
                </c:pt>
                <c:pt idx="82">
                  <c:v>-4.3931399995926768E-3</c:v>
                </c:pt>
                <c:pt idx="83">
                  <c:v>1.1765599992941134E-3</c:v>
                </c:pt>
                <c:pt idx="84">
                  <c:v>1.0640800028340891E-3</c:v>
                </c:pt>
                <c:pt idx="85">
                  <c:v>1.575480004248675E-3</c:v>
                </c:pt>
                <c:pt idx="87">
                  <c:v>3.683640003146138E-3</c:v>
                </c:pt>
                <c:pt idx="88">
                  <c:v>4.4428000037441961E-3</c:v>
                </c:pt>
                <c:pt idx="89">
                  <c:v>4.4067600028938614E-3</c:v>
                </c:pt>
                <c:pt idx="90">
                  <c:v>-3.4212200043839402E-3</c:v>
                </c:pt>
                <c:pt idx="91">
                  <c:v>7.1946799944271334E-3</c:v>
                </c:pt>
                <c:pt idx="92">
                  <c:v>-2.5431399990338832E-3</c:v>
                </c:pt>
                <c:pt idx="93">
                  <c:v>-3.4800200010067783E-3</c:v>
                </c:pt>
                <c:pt idx="94">
                  <c:v>-7.0685799946659245E-3</c:v>
                </c:pt>
                <c:pt idx="95">
                  <c:v>2.8886400032206438E-3</c:v>
                </c:pt>
                <c:pt idx="96">
                  <c:v>3.405480005312711E-3</c:v>
                </c:pt>
                <c:pt idx="97">
                  <c:v>-5.9618999948725104E-3</c:v>
                </c:pt>
                <c:pt idx="98">
                  <c:v>3.6409600070328452E-3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12-4767-8F68-B235217046F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12-4767-8F68-B235217046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12-4767-8F68-B235217046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12-4767-8F68-B235217046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0">
                  <c:v>2.8645823969688979E-3</c:v>
                </c:pt>
                <c:pt idx="1">
                  <c:v>2.7166083508739203E-3</c:v>
                </c:pt>
                <c:pt idx="2">
                  <c:v>2.7163795545135107E-3</c:v>
                </c:pt>
                <c:pt idx="3">
                  <c:v>2.7106596455032683E-3</c:v>
                </c:pt>
                <c:pt idx="4">
                  <c:v>2.7105452473230635E-3</c:v>
                </c:pt>
                <c:pt idx="5">
                  <c:v>2.7035669583305674E-3</c:v>
                </c:pt>
                <c:pt idx="6">
                  <c:v>2.7003066101947289E-3</c:v>
                </c:pt>
                <c:pt idx="7">
                  <c:v>2.6707918797018769E-3</c:v>
                </c:pt>
                <c:pt idx="8">
                  <c:v>2.6704486851612621E-3</c:v>
                </c:pt>
                <c:pt idx="9">
                  <c:v>2.6704486851612621E-3</c:v>
                </c:pt>
                <c:pt idx="10">
                  <c:v>2.6703342869810573E-3</c:v>
                </c:pt>
                <c:pt idx="11">
                  <c:v>2.634184462036324E-3</c:v>
                </c:pt>
                <c:pt idx="12">
                  <c:v>2.5976914425509755E-3</c:v>
                </c:pt>
                <c:pt idx="13">
                  <c:v>2.5912851444595039E-3</c:v>
                </c:pt>
                <c:pt idx="14">
                  <c:v>2.5783581500963557E-3</c:v>
                </c:pt>
                <c:pt idx="15">
                  <c:v>2.5783581500963557E-3</c:v>
                </c:pt>
                <c:pt idx="16">
                  <c:v>2.5753265983209268E-3</c:v>
                </c:pt>
                <c:pt idx="17">
                  <c:v>2.575212200140722E-3</c:v>
                </c:pt>
                <c:pt idx="18">
                  <c:v>2.5750978019605172E-3</c:v>
                </c:pt>
                <c:pt idx="19">
                  <c:v>2.5721806483652936E-3</c:v>
                </c:pt>
                <c:pt idx="20">
                  <c:v>2.0056808599908612E-3</c:v>
                </c:pt>
                <c:pt idx="21">
                  <c:v>2.0056808599908612E-3</c:v>
                </c:pt>
                <c:pt idx="22">
                  <c:v>2.0053376654502464E-3</c:v>
                </c:pt>
                <c:pt idx="23">
                  <c:v>1.3473193329119313E-3</c:v>
                </c:pt>
                <c:pt idx="24">
                  <c:v>1.3473193329119313E-3</c:v>
                </c:pt>
                <c:pt idx="25">
                  <c:v>1.3473193329119313E-3</c:v>
                </c:pt>
                <c:pt idx="26">
                  <c:v>1.3412562293610743E-3</c:v>
                </c:pt>
                <c:pt idx="27">
                  <c:v>1.3412562293610743E-3</c:v>
                </c:pt>
                <c:pt idx="28">
                  <c:v>1.3088243452729984E-3</c:v>
                </c:pt>
                <c:pt idx="29">
                  <c:v>1.0188821575437981E-3</c:v>
                </c:pt>
                <c:pt idx="30">
                  <c:v>1.0157362075881647E-3</c:v>
                </c:pt>
                <c:pt idx="31">
                  <c:v>8.9750568834644912E-4</c:v>
                </c:pt>
                <c:pt idx="32">
                  <c:v>8.1485300314844281E-4</c:v>
                </c:pt>
                <c:pt idx="33">
                  <c:v>8.1473860496823801E-4</c:v>
                </c:pt>
                <c:pt idx="34">
                  <c:v>7.8207792451975237E-4</c:v>
                </c:pt>
                <c:pt idx="35">
                  <c:v>7.3380189247330453E-4</c:v>
                </c:pt>
                <c:pt idx="36">
                  <c:v>7.3368749429309952E-4</c:v>
                </c:pt>
                <c:pt idx="37">
                  <c:v>7.3357309611289472E-4</c:v>
                </c:pt>
                <c:pt idx="38">
                  <c:v>7.3345869793268992E-4</c:v>
                </c:pt>
                <c:pt idx="39">
                  <c:v>7.3322990157228011E-4</c:v>
                </c:pt>
                <c:pt idx="40">
                  <c:v>7.3031274797705648E-4</c:v>
                </c:pt>
                <c:pt idx="41">
                  <c:v>7.2974075707603206E-4</c:v>
                </c:pt>
                <c:pt idx="42">
                  <c:v>7.2636601075998903E-4</c:v>
                </c:pt>
                <c:pt idx="43">
                  <c:v>6.9033058399546035E-4</c:v>
                </c:pt>
                <c:pt idx="44">
                  <c:v>6.4743126641864037E-4</c:v>
                </c:pt>
                <c:pt idx="45">
                  <c:v>4.9001937045676245E-4</c:v>
                </c:pt>
                <c:pt idx="46">
                  <c:v>4.8956177773594304E-4</c:v>
                </c:pt>
                <c:pt idx="47">
                  <c:v>4.8687342050112906E-4</c:v>
                </c:pt>
                <c:pt idx="48">
                  <c:v>4.8607263323969515E-4</c:v>
                </c:pt>
                <c:pt idx="49">
                  <c:v>4.8372747054549562E-4</c:v>
                </c:pt>
                <c:pt idx="50">
                  <c:v>4.0467832802394216E-4</c:v>
                </c:pt>
                <c:pt idx="51">
                  <c:v>4.0410633712291785E-4</c:v>
                </c:pt>
                <c:pt idx="52">
                  <c:v>3.6143581590650768E-4</c:v>
                </c:pt>
                <c:pt idx="53">
                  <c:v>2.8250107156515907E-4</c:v>
                </c:pt>
                <c:pt idx="54">
                  <c:v>1.5311672975347023E-4</c:v>
                </c:pt>
                <c:pt idx="55">
                  <c:v>8.710897977527001E-5</c:v>
                </c:pt>
                <c:pt idx="56">
                  <c:v>8.6880183414860307E-5</c:v>
                </c:pt>
                <c:pt idx="57">
                  <c:v>-3.4943789469736233E-6</c:v>
                </c:pt>
                <c:pt idx="58">
                  <c:v>-8.8492226839179458E-5</c:v>
                </c:pt>
                <c:pt idx="59">
                  <c:v>-9.9016859418025937E-5</c:v>
                </c:pt>
                <c:pt idx="60">
                  <c:v>-1.0170521665283999E-4</c:v>
                </c:pt>
                <c:pt idx="61">
                  <c:v>-1.0204841119345454E-4</c:v>
                </c:pt>
                <c:pt idx="62">
                  <c:v>-1.6656898482899168E-4</c:v>
                </c:pt>
                <c:pt idx="63">
                  <c:v>-1.676557675409378E-4</c:v>
                </c:pt>
                <c:pt idx="64">
                  <c:v>-1.681133602617572E-4</c:v>
                </c:pt>
                <c:pt idx="65">
                  <c:v>-1.6822775844196205E-4</c:v>
                </c:pt>
                <c:pt idx="66">
                  <c:v>-1.7068731931636639E-4</c:v>
                </c:pt>
                <c:pt idx="67">
                  <c:v>-1.7103051385698094E-4</c:v>
                </c:pt>
                <c:pt idx="68">
                  <c:v>-2.0414878702628591E-4</c:v>
                </c:pt>
                <c:pt idx="69">
                  <c:v>-2.1427302597441542E-4</c:v>
                </c:pt>
                <c:pt idx="70">
                  <c:v>-2.4945046638740772E-4</c:v>
                </c:pt>
                <c:pt idx="71">
                  <c:v>-2.9366536303658346E-4</c:v>
                </c:pt>
                <c:pt idx="72">
                  <c:v>-2.963537202713975E-4</c:v>
                </c:pt>
                <c:pt idx="73">
                  <c:v>-2.965825166318072E-4</c:v>
                </c:pt>
                <c:pt idx="74">
                  <c:v>-2.965825166318072E-4</c:v>
                </c:pt>
                <c:pt idx="75">
                  <c:v>-2.9995726294785034E-4</c:v>
                </c:pt>
                <c:pt idx="76">
                  <c:v>-3.0613476467891243E-4</c:v>
                </c:pt>
                <c:pt idx="77">
                  <c:v>-3.2260810262841125E-4</c:v>
                </c:pt>
                <c:pt idx="78">
                  <c:v>-3.3227474885572138E-4</c:v>
                </c:pt>
                <c:pt idx="79">
                  <c:v>-3.3238914703592623E-4</c:v>
                </c:pt>
                <c:pt idx="80">
                  <c:v>-3.3399072155879415E-4</c:v>
                </c:pt>
                <c:pt idx="81">
                  <c:v>-3.3542069881135482E-4</c:v>
                </c:pt>
                <c:pt idx="82">
                  <c:v>-3.3553509699155967E-4</c:v>
                </c:pt>
                <c:pt idx="83">
                  <c:v>-3.3925303784821737E-4</c:v>
                </c:pt>
                <c:pt idx="84">
                  <c:v>-3.3948183420862707E-4</c:v>
                </c:pt>
                <c:pt idx="85">
                  <c:v>-3.411978069116999E-4</c:v>
                </c:pt>
                <c:pt idx="86">
                  <c:v>-3.7551726097315581E-4</c:v>
                </c:pt>
                <c:pt idx="87">
                  <c:v>-3.7734763185643349E-4</c:v>
                </c:pt>
                <c:pt idx="88">
                  <c:v>-3.8203795724483245E-4</c:v>
                </c:pt>
                <c:pt idx="89">
                  <c:v>-3.8444031902913438E-4</c:v>
                </c:pt>
                <c:pt idx="90">
                  <c:v>-4.1469863769331798E-4</c:v>
                </c:pt>
                <c:pt idx="91">
                  <c:v>-4.1784458764895148E-4</c:v>
                </c:pt>
                <c:pt idx="92">
                  <c:v>-4.2133373214519947E-4</c:v>
                </c:pt>
                <c:pt idx="93">
                  <c:v>-4.5702596436911365E-4</c:v>
                </c:pt>
                <c:pt idx="94">
                  <c:v>-5.0209884736982565E-4</c:v>
                </c:pt>
                <c:pt idx="95">
                  <c:v>-5.060455845868931E-4</c:v>
                </c:pt>
                <c:pt idx="96">
                  <c:v>-5.4139462227019279E-4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12-4767-8F68-B235217046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-25100</c:v>
                </c:pt>
                <c:pt idx="1">
                  <c:v>-23806.5</c:v>
                </c:pt>
                <c:pt idx="2">
                  <c:v>-23804.5</c:v>
                </c:pt>
                <c:pt idx="3">
                  <c:v>-23754.5</c:v>
                </c:pt>
                <c:pt idx="4">
                  <c:v>-23753.5</c:v>
                </c:pt>
                <c:pt idx="5">
                  <c:v>-23692.5</c:v>
                </c:pt>
                <c:pt idx="6">
                  <c:v>-23664</c:v>
                </c:pt>
                <c:pt idx="7">
                  <c:v>-23406</c:v>
                </c:pt>
                <c:pt idx="8">
                  <c:v>-23403</c:v>
                </c:pt>
                <c:pt idx="9">
                  <c:v>-23403</c:v>
                </c:pt>
                <c:pt idx="10">
                  <c:v>-23402</c:v>
                </c:pt>
                <c:pt idx="11">
                  <c:v>-23086</c:v>
                </c:pt>
                <c:pt idx="12">
                  <c:v>-22767</c:v>
                </c:pt>
                <c:pt idx="13">
                  <c:v>-22711</c:v>
                </c:pt>
                <c:pt idx="14">
                  <c:v>-22598</c:v>
                </c:pt>
                <c:pt idx="15">
                  <c:v>-22598</c:v>
                </c:pt>
                <c:pt idx="16">
                  <c:v>-22571.5</c:v>
                </c:pt>
                <c:pt idx="17">
                  <c:v>-22570.5</c:v>
                </c:pt>
                <c:pt idx="18">
                  <c:v>-22569.5</c:v>
                </c:pt>
                <c:pt idx="19">
                  <c:v>-22544</c:v>
                </c:pt>
                <c:pt idx="20">
                  <c:v>-17592</c:v>
                </c:pt>
                <c:pt idx="21">
                  <c:v>-17592</c:v>
                </c:pt>
                <c:pt idx="22">
                  <c:v>-17589</c:v>
                </c:pt>
                <c:pt idx="23">
                  <c:v>-11837</c:v>
                </c:pt>
                <c:pt idx="24">
                  <c:v>-11837</c:v>
                </c:pt>
                <c:pt idx="25">
                  <c:v>-11837</c:v>
                </c:pt>
                <c:pt idx="26">
                  <c:v>-11784</c:v>
                </c:pt>
                <c:pt idx="27">
                  <c:v>-11784</c:v>
                </c:pt>
                <c:pt idx="28">
                  <c:v>-11500.5</c:v>
                </c:pt>
                <c:pt idx="29">
                  <c:v>-8966</c:v>
                </c:pt>
                <c:pt idx="30">
                  <c:v>-8938.5</c:v>
                </c:pt>
                <c:pt idx="31">
                  <c:v>-7905</c:v>
                </c:pt>
                <c:pt idx="32">
                  <c:v>-7182.5</c:v>
                </c:pt>
                <c:pt idx="33">
                  <c:v>-7181.5</c:v>
                </c:pt>
                <c:pt idx="34">
                  <c:v>-6896</c:v>
                </c:pt>
                <c:pt idx="35">
                  <c:v>-6474</c:v>
                </c:pt>
                <c:pt idx="36">
                  <c:v>-6473</c:v>
                </c:pt>
                <c:pt idx="37">
                  <c:v>-6472</c:v>
                </c:pt>
                <c:pt idx="38">
                  <c:v>-6471</c:v>
                </c:pt>
                <c:pt idx="39">
                  <c:v>-6469</c:v>
                </c:pt>
                <c:pt idx="40">
                  <c:v>-6443.5</c:v>
                </c:pt>
                <c:pt idx="41">
                  <c:v>-6438.5</c:v>
                </c:pt>
                <c:pt idx="42">
                  <c:v>-6409</c:v>
                </c:pt>
                <c:pt idx="43">
                  <c:v>-6094</c:v>
                </c:pt>
                <c:pt idx="44">
                  <c:v>-5719</c:v>
                </c:pt>
                <c:pt idx="45">
                  <c:v>-4343</c:v>
                </c:pt>
                <c:pt idx="46">
                  <c:v>-4339</c:v>
                </c:pt>
                <c:pt idx="47">
                  <c:v>-4315.5</c:v>
                </c:pt>
                <c:pt idx="48">
                  <c:v>-4308.5</c:v>
                </c:pt>
                <c:pt idx="49">
                  <c:v>-4288</c:v>
                </c:pt>
                <c:pt idx="50">
                  <c:v>-3597</c:v>
                </c:pt>
                <c:pt idx="51">
                  <c:v>-3592</c:v>
                </c:pt>
                <c:pt idx="52">
                  <c:v>-3219</c:v>
                </c:pt>
                <c:pt idx="53">
                  <c:v>-2529</c:v>
                </c:pt>
                <c:pt idx="54">
                  <c:v>-1398</c:v>
                </c:pt>
                <c:pt idx="55">
                  <c:v>-821</c:v>
                </c:pt>
                <c:pt idx="56">
                  <c:v>-819</c:v>
                </c:pt>
                <c:pt idx="57">
                  <c:v>-29</c:v>
                </c:pt>
                <c:pt idx="58">
                  <c:v>714</c:v>
                </c:pt>
                <c:pt idx="59">
                  <c:v>806</c:v>
                </c:pt>
                <c:pt idx="60">
                  <c:v>829.5</c:v>
                </c:pt>
                <c:pt idx="61">
                  <c:v>832.5</c:v>
                </c:pt>
                <c:pt idx="62">
                  <c:v>1396.5</c:v>
                </c:pt>
                <c:pt idx="63">
                  <c:v>1406</c:v>
                </c:pt>
                <c:pt idx="64">
                  <c:v>1410</c:v>
                </c:pt>
                <c:pt idx="65">
                  <c:v>1411</c:v>
                </c:pt>
                <c:pt idx="66">
                  <c:v>1432.5</c:v>
                </c:pt>
                <c:pt idx="67">
                  <c:v>1435.5</c:v>
                </c:pt>
                <c:pt idx="68">
                  <c:v>1725</c:v>
                </c:pt>
                <c:pt idx="69">
                  <c:v>1813.5</c:v>
                </c:pt>
                <c:pt idx="70">
                  <c:v>2121</c:v>
                </c:pt>
                <c:pt idx="71">
                  <c:v>2507.5</c:v>
                </c:pt>
                <c:pt idx="72">
                  <c:v>2531</c:v>
                </c:pt>
                <c:pt idx="73">
                  <c:v>2533</c:v>
                </c:pt>
                <c:pt idx="74">
                  <c:v>2533</c:v>
                </c:pt>
                <c:pt idx="75">
                  <c:v>2562.5</c:v>
                </c:pt>
                <c:pt idx="76">
                  <c:v>2616.5</c:v>
                </c:pt>
                <c:pt idx="77">
                  <c:v>2760.5</c:v>
                </c:pt>
                <c:pt idx="78">
                  <c:v>2845</c:v>
                </c:pt>
                <c:pt idx="79">
                  <c:v>2846</c:v>
                </c:pt>
                <c:pt idx="80">
                  <c:v>2860</c:v>
                </c:pt>
                <c:pt idx="81">
                  <c:v>2872.5</c:v>
                </c:pt>
                <c:pt idx="82">
                  <c:v>2873.5</c:v>
                </c:pt>
                <c:pt idx="83">
                  <c:v>2906</c:v>
                </c:pt>
                <c:pt idx="84">
                  <c:v>2908</c:v>
                </c:pt>
                <c:pt idx="85">
                  <c:v>2923</c:v>
                </c:pt>
                <c:pt idx="86">
                  <c:v>3223</c:v>
                </c:pt>
                <c:pt idx="87">
                  <c:v>3239</c:v>
                </c:pt>
                <c:pt idx="88">
                  <c:v>3280</c:v>
                </c:pt>
                <c:pt idx="89">
                  <c:v>3301</c:v>
                </c:pt>
                <c:pt idx="90">
                  <c:v>3565.5</c:v>
                </c:pt>
                <c:pt idx="91">
                  <c:v>3593</c:v>
                </c:pt>
                <c:pt idx="92">
                  <c:v>3623.5</c:v>
                </c:pt>
                <c:pt idx="93">
                  <c:v>3935.5</c:v>
                </c:pt>
                <c:pt idx="94">
                  <c:v>4329.5</c:v>
                </c:pt>
                <c:pt idx="95">
                  <c:v>4364</c:v>
                </c:pt>
                <c:pt idx="96">
                  <c:v>4673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20">
                  <c:v>-9.3985920000704937E-2</c:v>
                </c:pt>
                <c:pt idx="21">
                  <c:v>-8.698591999564087E-2</c:v>
                </c:pt>
                <c:pt idx="22">
                  <c:v>-8.1989639998937491E-2</c:v>
                </c:pt>
                <c:pt idx="34">
                  <c:v>1.5078180003911257E-2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12-4767-8F68-B23521704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406136"/>
        <c:axId val="1"/>
      </c:scatterChart>
      <c:valAx>
        <c:axId val="310406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155627355950458E-2"/>
              <c:y val="0.38437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4061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24088043114157"/>
          <c:y val="0.91249999999999998"/>
          <c:w val="0.777060452257684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314325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7F104F-0650-F074-6F0E-E661CAD7A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027" TargetMode="External"/><Relationship Id="rId13" Type="http://schemas.openxmlformats.org/officeDocument/2006/relationships/hyperlink" Target="http://www.bav-astro.de/sfs/BAVM_link.php?BAVMnr=133" TargetMode="External"/><Relationship Id="rId18" Type="http://schemas.openxmlformats.org/officeDocument/2006/relationships/hyperlink" Target="http://www.konkoly.hu/cgi-bin/IBVS?5931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www.konkoly.hu/cgi-bin/IBVS?4380" TargetMode="External"/><Relationship Id="rId3" Type="http://schemas.openxmlformats.org/officeDocument/2006/relationships/hyperlink" Target="http://www.konkoly.hu/cgi-bin/IBVS?1053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www.konkoly.hu/cgi-bin/IBVS?5754" TargetMode="External"/><Relationship Id="rId7" Type="http://schemas.openxmlformats.org/officeDocument/2006/relationships/hyperlink" Target="http://www.konkoly.hu/cgi-bin/IBVS?4027" TargetMode="External"/><Relationship Id="rId12" Type="http://schemas.openxmlformats.org/officeDocument/2006/relationships/hyperlink" Target="http://www.bav-astro.de/sfs/BAVM_link.php?BAVMnr=111" TargetMode="External"/><Relationship Id="rId17" Type="http://schemas.openxmlformats.org/officeDocument/2006/relationships/hyperlink" Target="http://www.konkoly.hu/cgi-bin/IBVS?5931" TargetMode="External"/><Relationship Id="rId25" Type="http://schemas.openxmlformats.org/officeDocument/2006/relationships/hyperlink" Target="http://www.konkoly.hu/cgi-bin/IBVS?6114" TargetMode="External"/><Relationship Id="rId33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konkoly.hu/cgi-bin/IBVS?4380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konkoly.hu/cgi-bin/IBVS?5887" TargetMode="External"/><Relationship Id="rId20" Type="http://schemas.openxmlformats.org/officeDocument/2006/relationships/hyperlink" Target="http://www.konkoly.hu/cgi-bin/IBVS?5945" TargetMode="External"/><Relationship Id="rId29" Type="http://schemas.openxmlformats.org/officeDocument/2006/relationships/hyperlink" Target="http://www.konkoly.hu/cgi-bin/IBVS?6114" TargetMode="External"/><Relationship Id="rId41" Type="http://schemas.openxmlformats.org/officeDocument/2006/relationships/hyperlink" Target="http://www.konkoly.hu/cgi-bin/IBVS?4380" TargetMode="External"/><Relationship Id="rId1" Type="http://schemas.openxmlformats.org/officeDocument/2006/relationships/hyperlink" Target="http://www.konkoly.hu/cgi-bin/IBVS?937" TargetMode="External"/><Relationship Id="rId6" Type="http://schemas.openxmlformats.org/officeDocument/2006/relationships/hyperlink" Target="http://www.konkoly.hu/cgi-bin/IBVS?4027" TargetMode="External"/><Relationship Id="rId11" Type="http://schemas.openxmlformats.org/officeDocument/2006/relationships/hyperlink" Target="http://www.konkoly.hu/cgi-bin/IBVS?4027" TargetMode="External"/><Relationship Id="rId24" Type="http://schemas.openxmlformats.org/officeDocument/2006/relationships/hyperlink" Target="http://www.bav-astro.de/sfs/BAVM_link.php?BAVMnr=234" TargetMode="External"/><Relationship Id="rId32" Type="http://schemas.openxmlformats.org/officeDocument/2006/relationships/hyperlink" Target="http://www.konkoly.hu/cgi-bin/IBVS?6114" TargetMode="External"/><Relationship Id="rId37" Type="http://schemas.openxmlformats.org/officeDocument/2006/relationships/hyperlink" Target="http://www.konkoly.hu/cgi-bin/IBVS?4380" TargetMode="External"/><Relationship Id="rId40" Type="http://schemas.openxmlformats.org/officeDocument/2006/relationships/hyperlink" Target="http://www.konkoly.hu/cgi-bin/IBVS?4380" TargetMode="External"/><Relationship Id="rId5" Type="http://schemas.openxmlformats.org/officeDocument/2006/relationships/hyperlink" Target="http://www.konkoly.hu/cgi-bin/IBVS?4027" TargetMode="External"/><Relationship Id="rId15" Type="http://schemas.openxmlformats.org/officeDocument/2006/relationships/hyperlink" Target="http://www.konkoly.hu/cgi-bin/IBVS?5809" TargetMode="External"/><Relationship Id="rId23" Type="http://schemas.openxmlformats.org/officeDocument/2006/relationships/hyperlink" Target="http://www.konkoly.hu/cgi-bin/IBVS?6114" TargetMode="External"/><Relationship Id="rId28" Type="http://schemas.openxmlformats.org/officeDocument/2006/relationships/hyperlink" Target="http://www.konkoly.hu/cgi-bin/IBVS?6114" TargetMode="External"/><Relationship Id="rId36" Type="http://schemas.openxmlformats.org/officeDocument/2006/relationships/hyperlink" Target="http://www.bav-astro.de/sfs/BAVM_link.php?BAVMnr=79" TargetMode="External"/><Relationship Id="rId10" Type="http://schemas.openxmlformats.org/officeDocument/2006/relationships/hyperlink" Target="http://www.konkoly.hu/cgi-bin/IBVS?4027" TargetMode="External"/><Relationship Id="rId19" Type="http://schemas.openxmlformats.org/officeDocument/2006/relationships/hyperlink" Target="http://www.konkoly.hu/cgi-bin/IBVS?5931" TargetMode="External"/><Relationship Id="rId31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konkoly.hu/cgi-bin/IBVS?4027" TargetMode="External"/><Relationship Id="rId9" Type="http://schemas.openxmlformats.org/officeDocument/2006/relationships/hyperlink" Target="http://www.konkoly.hu/cgi-bin/IBVS?4027" TargetMode="External"/><Relationship Id="rId14" Type="http://schemas.openxmlformats.org/officeDocument/2006/relationships/hyperlink" Target="http://www.konkoly.hu/cgi-bin/IBVS?5809" TargetMode="External"/><Relationship Id="rId22" Type="http://schemas.openxmlformats.org/officeDocument/2006/relationships/hyperlink" Target="http://www.konkoly.hu/cgi-bin/IBVS?6029" TargetMode="External"/><Relationship Id="rId27" Type="http://schemas.openxmlformats.org/officeDocument/2006/relationships/hyperlink" Target="http://www.bav-astro.de/sfs/BAVM_link.php?BAVMnr=234" TargetMode="External"/><Relationship Id="rId30" Type="http://schemas.openxmlformats.org/officeDocument/2006/relationships/hyperlink" Target="http://www.konkoly.hu/cgi-bin/IBVS?6114" TargetMode="External"/><Relationship Id="rId35" Type="http://schemas.openxmlformats.org/officeDocument/2006/relationships/hyperlink" Target="http://www.bav-astro.de/sfs/BAVM_link.php?BAVMnr=241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workbookViewId="0">
      <pane xSplit="14" ySplit="22" topLeftCell="O11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2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/>
    </row>
    <row r="3" spans="1:6">
      <c r="A3" s="1" t="s">
        <v>3</v>
      </c>
    </row>
    <row r="4" spans="1:6">
      <c r="A4" s="4" t="s">
        <v>4</v>
      </c>
      <c r="C4" s="5">
        <v>41897.531999999999</v>
      </c>
      <c r="D4" s="6">
        <v>1.0160030200000001</v>
      </c>
    </row>
    <row r="5" spans="1:6">
      <c r="A5" s="7" t="s">
        <v>5</v>
      </c>
      <c r="B5"/>
      <c r="C5" s="8">
        <v>-9.5</v>
      </c>
      <c r="D5" t="s">
        <v>6</v>
      </c>
    </row>
    <row r="6" spans="1:6">
      <c r="A6" s="4" t="s">
        <v>7</v>
      </c>
    </row>
    <row r="7" spans="1:6">
      <c r="A7" s="1" t="s">
        <v>8</v>
      </c>
      <c r="C7" s="1">
        <v>53923.935799999999</v>
      </c>
      <c r="D7" s="1" t="s">
        <v>429</v>
      </c>
    </row>
    <row r="8" spans="1:6">
      <c r="A8" s="1" t="s">
        <v>9</v>
      </c>
      <c r="C8" s="1">
        <v>1.01600124</v>
      </c>
      <c r="D8" s="1" t="s">
        <v>429</v>
      </c>
    </row>
    <row r="9" spans="1:6">
      <c r="A9" s="9" t="s">
        <v>10</v>
      </c>
      <c r="B9" s="10">
        <v>44</v>
      </c>
      <c r="C9" s="11" t="str">
        <f>"F"&amp;B9</f>
        <v>F44</v>
      </c>
      <c r="D9" s="12" t="str">
        <f>"G"&amp;B9</f>
        <v>G44</v>
      </c>
    </row>
    <row r="10" spans="1:6">
      <c r="A10"/>
      <c r="B10"/>
      <c r="C10" s="13" t="s">
        <v>11</v>
      </c>
      <c r="D10" s="13" t="s">
        <v>12</v>
      </c>
      <c r="E10"/>
    </row>
    <row r="11" spans="1:6">
      <c r="A11" t="s">
        <v>13</v>
      </c>
      <c r="B11"/>
      <c r="C11" s="14">
        <f ca="1">INTERCEPT(INDIRECT($D$9):G991,INDIRECT($C$9):F991)</f>
        <v>-6.8119261729143623E-6</v>
      </c>
      <c r="D11" s="15"/>
      <c r="E11"/>
    </row>
    <row r="12" spans="1:6">
      <c r="A12" t="s">
        <v>14</v>
      </c>
      <c r="B12"/>
      <c r="C12" s="14">
        <f ca="1">SLOPE(INDIRECT($D$9):G991,INDIRECT($C$9):F991)</f>
        <v>-1.1439818020485307E-7</v>
      </c>
      <c r="D12" s="15"/>
      <c r="E12" s="77" t="s">
        <v>428</v>
      </c>
      <c r="F12" s="78" t="s">
        <v>427</v>
      </c>
    </row>
    <row r="13" spans="1:6">
      <c r="A13" t="s">
        <v>15</v>
      </c>
      <c r="B13"/>
      <c r="C13" s="15" t="s">
        <v>16</v>
      </c>
      <c r="E13" s="75" t="s">
        <v>18</v>
      </c>
      <c r="F13" s="79">
        <v>1</v>
      </c>
    </row>
    <row r="14" spans="1:6">
      <c r="A14"/>
      <c r="B14"/>
      <c r="C14"/>
      <c r="E14" s="75" t="s">
        <v>20</v>
      </c>
      <c r="F14" s="80">
        <f ca="1">NOW()+15018.5+$C$5/24</f>
        <v>60681.746796064814</v>
      </c>
    </row>
    <row r="15" spans="1:6">
      <c r="A15" s="16" t="s">
        <v>17</v>
      </c>
      <c r="B15"/>
      <c r="C15" s="17">
        <f ca="1">(C7+C11)+(C8+C12)*INT(MAX(F21:F3532))</f>
        <v>60117.478654856764</v>
      </c>
      <c r="E15" s="75" t="s">
        <v>22</v>
      </c>
      <c r="F15" s="80">
        <f ca="1">ROUND(2*($F$14-$C$7)/$C$8,0)/2+$F$13</f>
        <v>6652.5</v>
      </c>
    </row>
    <row r="16" spans="1:6">
      <c r="A16" s="16" t="s">
        <v>19</v>
      </c>
      <c r="B16"/>
      <c r="C16" s="17">
        <f ca="1">+C8+C12</f>
        <v>1.0160011256018198</v>
      </c>
      <c r="E16" s="75" t="s">
        <v>24</v>
      </c>
      <c r="F16" s="80">
        <f ca="1">ROUND(2*($F$14-$C$15)/$C$16,0)/2+$F$13</f>
        <v>556.5</v>
      </c>
    </row>
    <row r="17" spans="1:21">
      <c r="A17" s="9" t="s">
        <v>21</v>
      </c>
      <c r="B17"/>
      <c r="C17">
        <f>COUNT(C21:C2190)</f>
        <v>99</v>
      </c>
      <c r="E17" s="75" t="s">
        <v>425</v>
      </c>
      <c r="F17" s="81">
        <f ca="1">+$C$15+$C$16*$F$16-15018.5-$C$5/24</f>
        <v>45664.779114587516</v>
      </c>
    </row>
    <row r="18" spans="1:21">
      <c r="A18" s="16" t="s">
        <v>23</v>
      </c>
      <c r="B18"/>
      <c r="C18" s="18">
        <f ca="1">+C15</f>
        <v>60117.478654856764</v>
      </c>
      <c r="D18" s="74">
        <f ca="1">+C16</f>
        <v>1.0160011256018198</v>
      </c>
      <c r="E18" s="76" t="s">
        <v>426</v>
      </c>
      <c r="F18" s="82">
        <f ca="1">+($C$15+$C$16*$F$16)-($C$16/2)-15018.5-$C$5/24</f>
        <v>45664.271114024712</v>
      </c>
    </row>
    <row r="19" spans="1:21">
      <c r="E19" s="9"/>
      <c r="F19" s="19"/>
    </row>
    <row r="20" spans="1:21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3" t="s">
        <v>41</v>
      </c>
      <c r="U20" s="21" t="s">
        <v>42</v>
      </c>
    </row>
    <row r="21" spans="1:21">
      <c r="A21" s="22" t="s">
        <v>43</v>
      </c>
      <c r="B21" s="23" t="s">
        <v>44</v>
      </c>
      <c r="C21" s="24">
        <v>28422.297999999999</v>
      </c>
      <c r="D21" s="25"/>
      <c r="E21" s="26">
        <f t="shared" ref="E21:E52" si="0">+(C21-C$7)/C$8</f>
        <v>-25100.006570858121</v>
      </c>
      <c r="F21" s="1">
        <f t="shared" ref="F21:F52" si="1">ROUND(2*E21,0)/2</f>
        <v>-25100</v>
      </c>
      <c r="G21" s="1">
        <f t="shared" ref="G21:G40" si="2">+C21-(C$7+F21*C$8)</f>
        <v>-6.676000000879867E-3</v>
      </c>
      <c r="H21" s="1">
        <f t="shared" ref="H21:H40" si="3">+G21</f>
        <v>-6.676000000879867E-3</v>
      </c>
      <c r="O21" s="1">
        <f t="shared" ref="O21:O52" ca="1" si="4">+C$11+C$12*$F21</f>
        <v>2.8645823969688979E-3</v>
      </c>
      <c r="Q21" s="27">
        <f t="shared" ref="Q21:Q52" si="5">+C21-15018.5</f>
        <v>13403.797999999999</v>
      </c>
    </row>
    <row r="22" spans="1:21">
      <c r="A22" s="22" t="s">
        <v>45</v>
      </c>
      <c r="B22" s="23" t="s">
        <v>46</v>
      </c>
      <c r="C22" s="24">
        <v>29736.52</v>
      </c>
      <c r="D22" s="25"/>
      <c r="E22" s="26">
        <f t="shared" si="0"/>
        <v>-23806.482559017346</v>
      </c>
      <c r="F22" s="1">
        <f t="shared" si="1"/>
        <v>-23806.5</v>
      </c>
      <c r="G22" s="1">
        <f t="shared" si="2"/>
        <v>1.7720060001011007E-2</v>
      </c>
      <c r="H22" s="1">
        <f t="shared" si="3"/>
        <v>1.7720060001011007E-2</v>
      </c>
      <c r="O22" s="1">
        <f t="shared" ca="1" si="4"/>
        <v>2.7166083508739203E-3</v>
      </c>
      <c r="Q22" s="27">
        <f t="shared" si="5"/>
        <v>14718.02</v>
      </c>
    </row>
    <row r="23" spans="1:21">
      <c r="A23" s="22" t="s">
        <v>45</v>
      </c>
      <c r="B23" s="23" t="s">
        <v>46</v>
      </c>
      <c r="C23" s="24">
        <v>29738.546999999999</v>
      </c>
      <c r="D23" s="25"/>
      <c r="E23" s="26">
        <f t="shared" si="0"/>
        <v>-23804.487482712128</v>
      </c>
      <c r="F23" s="1">
        <f t="shared" si="1"/>
        <v>-23804.5</v>
      </c>
      <c r="G23" s="1">
        <f t="shared" si="2"/>
        <v>1.2717580000753514E-2</v>
      </c>
      <c r="H23" s="1">
        <f t="shared" si="3"/>
        <v>1.2717580000753514E-2</v>
      </c>
      <c r="O23" s="1">
        <f t="shared" ca="1" si="4"/>
        <v>2.7163795545135107E-3</v>
      </c>
      <c r="Q23" s="27">
        <f t="shared" si="5"/>
        <v>14720.046999999999</v>
      </c>
    </row>
    <row r="24" spans="1:21">
      <c r="A24" s="22" t="s">
        <v>45</v>
      </c>
      <c r="B24" s="23" t="s">
        <v>46</v>
      </c>
      <c r="C24" s="24">
        <v>29789.368999999999</v>
      </c>
      <c r="D24" s="25"/>
      <c r="E24" s="26">
        <f t="shared" si="0"/>
        <v>-23754.465890218795</v>
      </c>
      <c r="F24" s="1">
        <f t="shared" si="1"/>
        <v>-23754.5</v>
      </c>
      <c r="G24" s="1">
        <f t="shared" si="2"/>
        <v>3.4655579998798203E-2</v>
      </c>
      <c r="H24" s="1">
        <f t="shared" si="3"/>
        <v>3.4655579998798203E-2</v>
      </c>
      <c r="O24" s="1">
        <f t="shared" ca="1" si="4"/>
        <v>2.7106596455032683E-3</v>
      </c>
      <c r="Q24" s="27">
        <f t="shared" si="5"/>
        <v>14770.868999999999</v>
      </c>
    </row>
    <row r="25" spans="1:21">
      <c r="A25" s="22" t="s">
        <v>45</v>
      </c>
      <c r="B25" s="23" t="s">
        <v>46</v>
      </c>
      <c r="C25" s="24">
        <v>29790.37</v>
      </c>
      <c r="D25" s="25"/>
      <c r="E25" s="26">
        <f t="shared" si="0"/>
        <v>-23753.480655200776</v>
      </c>
      <c r="F25" s="1">
        <f t="shared" si="1"/>
        <v>-23753.5</v>
      </c>
      <c r="G25" s="1">
        <f t="shared" si="2"/>
        <v>1.965434000157984E-2</v>
      </c>
      <c r="H25" s="1">
        <f t="shared" si="3"/>
        <v>1.965434000157984E-2</v>
      </c>
      <c r="O25" s="1">
        <f t="shared" ca="1" si="4"/>
        <v>2.7105452473230635E-3</v>
      </c>
      <c r="Q25" s="27">
        <f t="shared" si="5"/>
        <v>14771.869999999999</v>
      </c>
    </row>
    <row r="26" spans="1:21">
      <c r="A26" s="22" t="s">
        <v>45</v>
      </c>
      <c r="B26" s="23" t="s">
        <v>46</v>
      </c>
      <c r="C26" s="24">
        <v>29852.371999999999</v>
      </c>
      <c r="D26" s="25"/>
      <c r="E26" s="26">
        <f t="shared" si="0"/>
        <v>-23692.455139129554</v>
      </c>
      <c r="F26" s="1">
        <f t="shared" si="1"/>
        <v>-23692.5</v>
      </c>
      <c r="G26" s="1">
        <f t="shared" si="2"/>
        <v>4.5578699999168748E-2</v>
      </c>
      <c r="H26" s="1">
        <f t="shared" si="3"/>
        <v>4.5578699999168748E-2</v>
      </c>
      <c r="O26" s="1">
        <f t="shared" ca="1" si="4"/>
        <v>2.7035669583305674E-3</v>
      </c>
      <c r="Q26" s="27">
        <f t="shared" si="5"/>
        <v>14833.871999999999</v>
      </c>
    </row>
    <row r="27" spans="1:21">
      <c r="A27" s="22" t="s">
        <v>45</v>
      </c>
      <c r="B27" s="23" t="s">
        <v>44</v>
      </c>
      <c r="C27" s="24">
        <v>29881.304</v>
      </c>
      <c r="D27" s="25"/>
      <c r="E27" s="26">
        <f t="shared" si="0"/>
        <v>-23663.978795931391</v>
      </c>
      <c r="F27" s="1">
        <f t="shared" si="1"/>
        <v>-23664</v>
      </c>
      <c r="G27" s="1">
        <f t="shared" si="2"/>
        <v>2.1543360002397094E-2</v>
      </c>
      <c r="H27" s="1">
        <f t="shared" si="3"/>
        <v>2.1543360002397094E-2</v>
      </c>
      <c r="O27" s="1">
        <f t="shared" ca="1" si="4"/>
        <v>2.7003066101947289E-3</v>
      </c>
      <c r="Q27" s="27">
        <f t="shared" si="5"/>
        <v>14862.804</v>
      </c>
    </row>
    <row r="28" spans="1:21">
      <c r="A28" s="22" t="s">
        <v>45</v>
      </c>
      <c r="B28" s="23" t="s">
        <v>44</v>
      </c>
      <c r="C28" s="24">
        <v>30143.428</v>
      </c>
      <c r="D28" s="25"/>
      <c r="E28" s="26">
        <f t="shared" si="0"/>
        <v>-23405.983047815964</v>
      </c>
      <c r="F28" s="1">
        <f t="shared" si="1"/>
        <v>-23406</v>
      </c>
      <c r="G28" s="1">
        <f t="shared" si="2"/>
        <v>1.7223440001544077E-2</v>
      </c>
      <c r="H28" s="1">
        <f t="shared" si="3"/>
        <v>1.7223440001544077E-2</v>
      </c>
      <c r="O28" s="1">
        <f t="shared" ca="1" si="4"/>
        <v>2.6707918797018769E-3</v>
      </c>
      <c r="Q28" s="27">
        <f t="shared" si="5"/>
        <v>15124.928</v>
      </c>
    </row>
    <row r="29" spans="1:21">
      <c r="A29" s="22" t="s">
        <v>45</v>
      </c>
      <c r="B29" s="23" t="s">
        <v>44</v>
      </c>
      <c r="C29" s="24">
        <v>30146.424999999999</v>
      </c>
      <c r="D29" s="25"/>
      <c r="E29" s="26">
        <f t="shared" si="0"/>
        <v>-23403.033248266507</v>
      </c>
      <c r="F29" s="1">
        <f t="shared" si="1"/>
        <v>-23403</v>
      </c>
      <c r="G29" s="1">
        <f t="shared" si="2"/>
        <v>-3.3780279998609331E-2</v>
      </c>
      <c r="H29" s="1">
        <f t="shared" si="3"/>
        <v>-3.3780279998609331E-2</v>
      </c>
      <c r="O29" s="1">
        <f t="shared" ca="1" si="4"/>
        <v>2.6704486851612621E-3</v>
      </c>
      <c r="Q29" s="27">
        <f t="shared" si="5"/>
        <v>15127.924999999999</v>
      </c>
    </row>
    <row r="30" spans="1:21">
      <c r="A30" s="22" t="s">
        <v>45</v>
      </c>
      <c r="B30" s="23" t="s">
        <v>44</v>
      </c>
      <c r="C30" s="24">
        <v>30146.451000000001</v>
      </c>
      <c r="D30" s="25"/>
      <c r="E30" s="26">
        <f t="shared" si="0"/>
        <v>-23403.007657746559</v>
      </c>
      <c r="F30" s="1">
        <f t="shared" si="1"/>
        <v>-23403</v>
      </c>
      <c r="G30" s="1">
        <f t="shared" si="2"/>
        <v>-7.7802799969504122E-3</v>
      </c>
      <c r="H30" s="1">
        <f t="shared" si="3"/>
        <v>-7.7802799969504122E-3</v>
      </c>
      <c r="O30" s="1">
        <f t="shared" ca="1" si="4"/>
        <v>2.6704486851612621E-3</v>
      </c>
      <c r="Q30" s="27">
        <f t="shared" si="5"/>
        <v>15127.951000000001</v>
      </c>
    </row>
    <row r="31" spans="1:21">
      <c r="A31" s="22" t="s">
        <v>45</v>
      </c>
      <c r="B31" s="23" t="s">
        <v>44</v>
      </c>
      <c r="C31" s="24">
        <v>30147.487000000001</v>
      </c>
      <c r="D31" s="25"/>
      <c r="E31" s="26">
        <f t="shared" si="0"/>
        <v>-23401.987973951684</v>
      </c>
      <c r="F31" s="1">
        <f t="shared" si="1"/>
        <v>-23402</v>
      </c>
      <c r="G31" s="1">
        <f t="shared" si="2"/>
        <v>1.2218480002047727E-2</v>
      </c>
      <c r="H31" s="1">
        <f t="shared" si="3"/>
        <v>1.2218480002047727E-2</v>
      </c>
      <c r="O31" s="1">
        <f t="shared" ca="1" si="4"/>
        <v>2.6703342869810573E-3</v>
      </c>
      <c r="Q31" s="27">
        <f t="shared" si="5"/>
        <v>15128.987000000001</v>
      </c>
    </row>
    <row r="32" spans="1:21">
      <c r="A32" s="22" t="s">
        <v>45</v>
      </c>
      <c r="B32" s="23" t="s">
        <v>44</v>
      </c>
      <c r="C32" s="24">
        <v>30468.535</v>
      </c>
      <c r="D32" s="25"/>
      <c r="E32" s="26">
        <f t="shared" si="0"/>
        <v>-23085.996233626644</v>
      </c>
      <c r="F32" s="1">
        <f t="shared" si="1"/>
        <v>-23086</v>
      </c>
      <c r="G32" s="1">
        <f t="shared" si="2"/>
        <v>3.8266400006250478E-3</v>
      </c>
      <c r="H32" s="1">
        <f t="shared" si="3"/>
        <v>3.8266400006250478E-3</v>
      </c>
      <c r="O32" s="1">
        <f t="shared" ca="1" si="4"/>
        <v>2.634184462036324E-3</v>
      </c>
      <c r="Q32" s="27">
        <f t="shared" si="5"/>
        <v>15450.035</v>
      </c>
    </row>
    <row r="33" spans="1:21">
      <c r="A33" s="22" t="s">
        <v>45</v>
      </c>
      <c r="B33" s="23" t="s">
        <v>44</v>
      </c>
      <c r="C33" s="24">
        <v>30792.598999999998</v>
      </c>
      <c r="D33" s="25"/>
      <c r="E33" s="26">
        <f t="shared" si="0"/>
        <v>-22767.035992987567</v>
      </c>
      <c r="F33" s="1">
        <f t="shared" si="1"/>
        <v>-22767</v>
      </c>
      <c r="G33" s="1">
        <f t="shared" si="2"/>
        <v>-3.6568920000718208E-2</v>
      </c>
      <c r="H33" s="1">
        <f t="shared" si="3"/>
        <v>-3.6568920000718208E-2</v>
      </c>
      <c r="O33" s="1">
        <f t="shared" ca="1" si="4"/>
        <v>2.5976914425509755E-3</v>
      </c>
      <c r="Q33" s="27">
        <f t="shared" si="5"/>
        <v>15774.098999999998</v>
      </c>
    </row>
    <row r="34" spans="1:21">
      <c r="A34" s="22" t="s">
        <v>45</v>
      </c>
      <c r="B34" s="23" t="s">
        <v>44</v>
      </c>
      <c r="C34" s="24">
        <v>30849.502</v>
      </c>
      <c r="D34" s="25"/>
      <c r="E34" s="26">
        <f t="shared" si="0"/>
        <v>-22711.029171578568</v>
      </c>
      <c r="F34" s="1">
        <f t="shared" si="1"/>
        <v>-22711</v>
      </c>
      <c r="G34" s="1">
        <f t="shared" si="2"/>
        <v>-2.9638359999808017E-2</v>
      </c>
      <c r="H34" s="1">
        <f t="shared" si="3"/>
        <v>-2.9638359999808017E-2</v>
      </c>
      <c r="O34" s="1">
        <f t="shared" ca="1" si="4"/>
        <v>2.5912851444595039E-3</v>
      </c>
      <c r="Q34" s="27">
        <f t="shared" si="5"/>
        <v>15831.002</v>
      </c>
    </row>
    <row r="35" spans="1:21">
      <c r="A35" s="22" t="s">
        <v>45</v>
      </c>
      <c r="B35" s="23" t="s">
        <v>44</v>
      </c>
      <c r="C35" s="24">
        <v>30964.326000000001</v>
      </c>
      <c r="D35" s="25"/>
      <c r="E35" s="26">
        <f t="shared" si="0"/>
        <v>-22598.013561479511</v>
      </c>
      <c r="F35" s="1">
        <f t="shared" si="1"/>
        <v>-22598</v>
      </c>
      <c r="G35" s="1">
        <f t="shared" si="2"/>
        <v>-1.37784799990186E-2</v>
      </c>
      <c r="H35" s="1">
        <f t="shared" si="3"/>
        <v>-1.37784799990186E-2</v>
      </c>
      <c r="O35" s="1">
        <f t="shared" ca="1" si="4"/>
        <v>2.5783581500963557E-3</v>
      </c>
      <c r="Q35" s="27">
        <f t="shared" si="5"/>
        <v>15945.826000000001</v>
      </c>
    </row>
    <row r="36" spans="1:21">
      <c r="A36" s="22" t="s">
        <v>45</v>
      </c>
      <c r="B36" s="23" t="s">
        <v>44</v>
      </c>
      <c r="C36" s="24">
        <v>30964.351999999999</v>
      </c>
      <c r="D36" s="25"/>
      <c r="E36" s="26">
        <f t="shared" si="0"/>
        <v>-22597.987970959563</v>
      </c>
      <c r="F36" s="1">
        <f t="shared" si="1"/>
        <v>-22598</v>
      </c>
      <c r="G36" s="1">
        <f t="shared" si="2"/>
        <v>1.2221519999002339E-2</v>
      </c>
      <c r="H36" s="1">
        <f t="shared" si="3"/>
        <v>1.2221519999002339E-2</v>
      </c>
      <c r="O36" s="1">
        <f t="shared" ca="1" si="4"/>
        <v>2.5783581500963557E-3</v>
      </c>
      <c r="Q36" s="27">
        <f t="shared" si="5"/>
        <v>15945.851999999999</v>
      </c>
    </row>
    <row r="37" spans="1:21">
      <c r="A37" s="22" t="s">
        <v>45</v>
      </c>
      <c r="B37" s="23" t="s">
        <v>46</v>
      </c>
      <c r="C37" s="24">
        <v>30991.307000000001</v>
      </c>
      <c r="D37" s="25"/>
      <c r="E37" s="26">
        <f t="shared" si="0"/>
        <v>-22571.457491528257</v>
      </c>
      <c r="F37" s="1">
        <f t="shared" si="1"/>
        <v>-22571.5</v>
      </c>
      <c r="G37" s="1">
        <f t="shared" si="2"/>
        <v>4.3188660001760582E-2</v>
      </c>
      <c r="H37" s="1">
        <f t="shared" si="3"/>
        <v>4.3188660001760582E-2</v>
      </c>
      <c r="O37" s="1">
        <f t="shared" ca="1" si="4"/>
        <v>2.5753265983209268E-3</v>
      </c>
      <c r="Q37" s="27">
        <f t="shared" si="5"/>
        <v>15972.807000000001</v>
      </c>
    </row>
    <row r="38" spans="1:21">
      <c r="A38" s="22" t="s">
        <v>45</v>
      </c>
      <c r="B38" s="23" t="s">
        <v>46</v>
      </c>
      <c r="C38" s="24">
        <v>30992.272000000001</v>
      </c>
      <c r="D38" s="25"/>
      <c r="E38" s="26">
        <f t="shared" si="0"/>
        <v>-22570.507689537859</v>
      </c>
      <c r="F38" s="1">
        <f t="shared" si="1"/>
        <v>-22570.5</v>
      </c>
      <c r="G38" s="1">
        <f t="shared" si="2"/>
        <v>-7.8125799991539679E-3</v>
      </c>
      <c r="H38" s="1">
        <f t="shared" si="3"/>
        <v>-7.8125799991539679E-3</v>
      </c>
      <c r="O38" s="1">
        <f t="shared" ca="1" si="4"/>
        <v>2.575212200140722E-3</v>
      </c>
      <c r="Q38" s="27">
        <f t="shared" si="5"/>
        <v>15973.772000000001</v>
      </c>
    </row>
    <row r="39" spans="1:21">
      <c r="A39" s="22" t="s">
        <v>45</v>
      </c>
      <c r="B39" s="23" t="s">
        <v>46</v>
      </c>
      <c r="C39" s="24">
        <v>30993.297999999999</v>
      </c>
      <c r="D39" s="25"/>
      <c r="E39" s="26">
        <f t="shared" si="0"/>
        <v>-22569.497848250656</v>
      </c>
      <c r="F39" s="1">
        <f t="shared" si="1"/>
        <v>-22569.5</v>
      </c>
      <c r="G39" s="1">
        <f t="shared" si="2"/>
        <v>2.1861800014448818E-3</v>
      </c>
      <c r="H39" s="1">
        <f t="shared" si="3"/>
        <v>2.1861800014448818E-3</v>
      </c>
      <c r="O39" s="1">
        <f t="shared" ca="1" si="4"/>
        <v>2.5750978019605172E-3</v>
      </c>
      <c r="Q39" s="27">
        <f t="shared" si="5"/>
        <v>15974.797999999999</v>
      </c>
    </row>
    <row r="40" spans="1:21">
      <c r="A40" s="22" t="s">
        <v>45</v>
      </c>
      <c r="B40" s="23" t="s">
        <v>44</v>
      </c>
      <c r="C40" s="24">
        <v>31019.238000000001</v>
      </c>
      <c r="D40" s="25"/>
      <c r="E40" s="26">
        <f t="shared" si="0"/>
        <v>-22543.966383348114</v>
      </c>
      <c r="F40" s="1">
        <f t="shared" si="1"/>
        <v>-22544</v>
      </c>
      <c r="G40" s="1">
        <f t="shared" si="2"/>
        <v>3.415456000220729E-2</v>
      </c>
      <c r="H40" s="1">
        <f t="shared" si="3"/>
        <v>3.415456000220729E-2</v>
      </c>
      <c r="O40" s="1">
        <f t="shared" ca="1" si="4"/>
        <v>2.5721806483652936E-3</v>
      </c>
      <c r="Q40" s="27">
        <f t="shared" si="5"/>
        <v>16000.738000000001</v>
      </c>
    </row>
    <row r="41" spans="1:21">
      <c r="A41" s="22" t="s">
        <v>47</v>
      </c>
      <c r="B41" s="23" t="s">
        <v>46</v>
      </c>
      <c r="C41" s="24">
        <v>36050.347999999998</v>
      </c>
      <c r="D41" s="25"/>
      <c r="E41" s="26">
        <f t="shared" si="0"/>
        <v>-17592.09250571387</v>
      </c>
      <c r="F41" s="1">
        <f t="shared" si="1"/>
        <v>-17592</v>
      </c>
      <c r="O41" s="1">
        <f t="shared" ca="1" si="4"/>
        <v>2.0056808599908612E-3</v>
      </c>
      <c r="Q41" s="27">
        <f t="shared" si="5"/>
        <v>21031.847999999998</v>
      </c>
      <c r="U41" s="1">
        <f>+C41-(C$7+F41*C$8)</f>
        <v>-9.3985920000704937E-2</v>
      </c>
    </row>
    <row r="42" spans="1:21">
      <c r="A42" s="22" t="s">
        <v>48</v>
      </c>
      <c r="B42" s="23" t="s">
        <v>46</v>
      </c>
      <c r="C42" s="24">
        <v>36050.355000000003</v>
      </c>
      <c r="D42" s="25"/>
      <c r="E42" s="26">
        <f t="shared" si="0"/>
        <v>-17592.085615958495</v>
      </c>
      <c r="F42" s="1">
        <f t="shared" si="1"/>
        <v>-17592</v>
      </c>
      <c r="O42" s="1">
        <f t="shared" ca="1" si="4"/>
        <v>2.0056808599908612E-3</v>
      </c>
      <c r="Q42" s="27">
        <f t="shared" si="5"/>
        <v>21031.855000000003</v>
      </c>
      <c r="U42" s="1">
        <f>+C42-(C$7+F42*C$8)</f>
        <v>-8.698591999564087E-2</v>
      </c>
    </row>
    <row r="43" spans="1:21">
      <c r="A43" s="22" t="s">
        <v>47</v>
      </c>
      <c r="B43" s="23" t="s">
        <v>46</v>
      </c>
      <c r="C43" s="24">
        <v>36053.408000000003</v>
      </c>
      <c r="D43" s="25"/>
      <c r="E43" s="26">
        <f t="shared" si="0"/>
        <v>-17589.080698366073</v>
      </c>
      <c r="F43" s="1">
        <f t="shared" si="1"/>
        <v>-17589</v>
      </c>
      <c r="O43" s="1">
        <f t="shared" ca="1" si="4"/>
        <v>2.0053376654502464E-3</v>
      </c>
      <c r="Q43" s="27">
        <f t="shared" si="5"/>
        <v>21034.908000000003</v>
      </c>
      <c r="U43" s="1">
        <f>+C43-(C$7+F43*C$8)</f>
        <v>-8.1989639998937491E-2</v>
      </c>
    </row>
    <row r="44" spans="1:21">
      <c r="A44" s="1" t="s">
        <v>49</v>
      </c>
      <c r="B44" s="15"/>
      <c r="C44" s="25">
        <v>41897.531999999999</v>
      </c>
      <c r="D44" s="25"/>
      <c r="E44" s="1">
        <f t="shared" si="0"/>
        <v>-11836.997167444402</v>
      </c>
      <c r="F44" s="1">
        <f t="shared" si="1"/>
        <v>-11837</v>
      </c>
      <c r="G44" s="1">
        <f t="shared" ref="G44:G54" si="6">+C44-(C$7+F44*C$8)</f>
        <v>2.8778799969586544E-3</v>
      </c>
      <c r="H44" s="1">
        <f>+G44</f>
        <v>2.8778799969586544E-3</v>
      </c>
      <c r="O44" s="1">
        <f t="shared" ca="1" si="4"/>
        <v>1.3473193329119313E-3</v>
      </c>
      <c r="Q44" s="27">
        <f t="shared" si="5"/>
        <v>26879.031999999999</v>
      </c>
    </row>
    <row r="45" spans="1:21">
      <c r="A45" s="28" t="s">
        <v>50</v>
      </c>
      <c r="B45" s="29"/>
      <c r="C45" s="25">
        <v>41897.534</v>
      </c>
      <c r="D45" s="25"/>
      <c r="E45" s="1">
        <f t="shared" si="0"/>
        <v>-11836.995198942866</v>
      </c>
      <c r="F45" s="1">
        <f t="shared" si="1"/>
        <v>-11837</v>
      </c>
      <c r="G45" s="1">
        <f t="shared" si="6"/>
        <v>4.877879997366108E-3</v>
      </c>
      <c r="J45" s="1">
        <f>+G45</f>
        <v>4.877879997366108E-3</v>
      </c>
      <c r="O45" s="1">
        <f t="shared" ca="1" si="4"/>
        <v>1.3473193329119313E-3</v>
      </c>
      <c r="Q45" s="27">
        <f t="shared" si="5"/>
        <v>26879.034</v>
      </c>
    </row>
    <row r="46" spans="1:21">
      <c r="A46" s="28" t="s">
        <v>50</v>
      </c>
      <c r="B46" s="29"/>
      <c r="C46" s="25">
        <v>41897.534299999999</v>
      </c>
      <c r="D46" s="25"/>
      <c r="E46" s="1">
        <f t="shared" si="0"/>
        <v>-11836.994903667637</v>
      </c>
      <c r="F46" s="1">
        <f t="shared" si="1"/>
        <v>-11837</v>
      </c>
      <c r="G46" s="1">
        <f t="shared" si="6"/>
        <v>5.1778799970634282E-3</v>
      </c>
      <c r="J46" s="1">
        <f>+G46</f>
        <v>5.1778799970634282E-3</v>
      </c>
      <c r="O46" s="1">
        <f t="shared" ca="1" si="4"/>
        <v>1.3473193329119313E-3</v>
      </c>
      <c r="Q46" s="27">
        <f t="shared" si="5"/>
        <v>26879.034299999999</v>
      </c>
    </row>
    <row r="47" spans="1:21">
      <c r="A47" s="28" t="s">
        <v>50</v>
      </c>
      <c r="B47" s="29"/>
      <c r="C47" s="25">
        <v>41951.383000000002</v>
      </c>
      <c r="D47" s="25"/>
      <c r="E47" s="1">
        <f t="shared" si="0"/>
        <v>-11783.994279377059</v>
      </c>
      <c r="F47" s="1">
        <f t="shared" si="1"/>
        <v>-11784</v>
      </c>
      <c r="G47" s="1">
        <f t="shared" si="6"/>
        <v>5.8121600013691932E-3</v>
      </c>
      <c r="J47" s="1">
        <f>+G47</f>
        <v>5.8121600013691932E-3</v>
      </c>
      <c r="O47" s="1">
        <f t="shared" ca="1" si="4"/>
        <v>1.3412562293610743E-3</v>
      </c>
      <c r="Q47" s="27">
        <f t="shared" si="5"/>
        <v>26932.883000000002</v>
      </c>
    </row>
    <row r="48" spans="1:21">
      <c r="A48" s="28" t="s">
        <v>50</v>
      </c>
      <c r="B48" s="29"/>
      <c r="C48" s="25">
        <v>41951.383500000004</v>
      </c>
      <c r="D48" s="25"/>
      <c r="E48" s="1">
        <f t="shared" si="0"/>
        <v>-11783.993787251673</v>
      </c>
      <c r="F48" s="1">
        <f t="shared" si="1"/>
        <v>-11784</v>
      </c>
      <c r="G48" s="1">
        <f t="shared" si="6"/>
        <v>6.312160003290046E-3</v>
      </c>
      <c r="J48" s="1">
        <f>+G48</f>
        <v>6.312160003290046E-3</v>
      </c>
      <c r="O48" s="1">
        <f t="shared" ca="1" si="4"/>
        <v>1.3412562293610743E-3</v>
      </c>
      <c r="Q48" s="27">
        <f t="shared" si="5"/>
        <v>26932.883500000004</v>
      </c>
    </row>
    <row r="49" spans="1:21">
      <c r="A49" s="28" t="s">
        <v>51</v>
      </c>
      <c r="B49" s="29" t="s">
        <v>44</v>
      </c>
      <c r="C49" s="25">
        <v>42239.41</v>
      </c>
      <c r="D49" s="25"/>
      <c r="E49" s="1">
        <f t="shared" si="0"/>
        <v>-11500.503483637476</v>
      </c>
      <c r="F49" s="1">
        <f t="shared" si="1"/>
        <v>-11500.5</v>
      </c>
      <c r="G49" s="1">
        <f t="shared" si="6"/>
        <v>-3.539379991707392E-3</v>
      </c>
      <c r="J49" s="1">
        <f>+G49</f>
        <v>-3.539379991707392E-3</v>
      </c>
      <c r="O49" s="1">
        <f t="shared" ca="1" si="4"/>
        <v>1.3088243452729984E-3</v>
      </c>
      <c r="Q49" s="27">
        <f t="shared" si="5"/>
        <v>27220.910000000003</v>
      </c>
    </row>
    <row r="50" spans="1:21">
      <c r="A50" s="26" t="s">
        <v>52</v>
      </c>
      <c r="B50" s="15"/>
      <c r="C50" s="25">
        <v>44814.468000000001</v>
      </c>
      <c r="D50" s="25"/>
      <c r="E50" s="1">
        <f t="shared" si="0"/>
        <v>-8966.0006714165011</v>
      </c>
      <c r="F50" s="1">
        <f t="shared" si="1"/>
        <v>-8966</v>
      </c>
      <c r="G50" s="1">
        <f t="shared" si="6"/>
        <v>-6.8215999635867774E-4</v>
      </c>
      <c r="I50" s="1">
        <f>+G50</f>
        <v>-6.8215999635867774E-4</v>
      </c>
      <c r="O50" s="1">
        <f t="shared" ca="1" si="4"/>
        <v>1.0188821575437981E-3</v>
      </c>
      <c r="Q50" s="27">
        <f t="shared" si="5"/>
        <v>29795.968000000001</v>
      </c>
    </row>
    <row r="51" spans="1:21">
      <c r="A51" s="26" t="s">
        <v>52</v>
      </c>
      <c r="B51" s="15" t="s">
        <v>44</v>
      </c>
      <c r="C51" s="25">
        <v>44842.406000000003</v>
      </c>
      <c r="D51" s="25"/>
      <c r="E51" s="1">
        <f t="shared" si="0"/>
        <v>-8938.5026734809853</v>
      </c>
      <c r="F51" s="1">
        <f t="shared" si="1"/>
        <v>-8938.5</v>
      </c>
      <c r="G51" s="1">
        <f t="shared" si="6"/>
        <v>-2.7162599944858812E-3</v>
      </c>
      <c r="I51" s="1">
        <f>+G51</f>
        <v>-2.7162599944858812E-3</v>
      </c>
      <c r="O51" s="1">
        <f t="shared" ca="1" si="4"/>
        <v>1.0157362075881647E-3</v>
      </c>
      <c r="Q51" s="27">
        <f t="shared" si="5"/>
        <v>29823.906000000003</v>
      </c>
    </row>
    <row r="52" spans="1:21">
      <c r="A52" s="26" t="s">
        <v>53</v>
      </c>
      <c r="B52" s="15"/>
      <c r="C52" s="25">
        <v>45892.44</v>
      </c>
      <c r="D52" s="25"/>
      <c r="E52" s="1">
        <f t="shared" si="0"/>
        <v>-7905.005903339249</v>
      </c>
      <c r="F52" s="1">
        <f t="shared" si="1"/>
        <v>-7905</v>
      </c>
      <c r="G52" s="1">
        <f t="shared" si="6"/>
        <v>-5.9977999990223907E-3</v>
      </c>
      <c r="I52" s="1">
        <f>+G52</f>
        <v>-5.9977999990223907E-3</v>
      </c>
      <c r="O52" s="1">
        <f t="shared" ca="1" si="4"/>
        <v>8.9750568834644912E-4</v>
      </c>
      <c r="Q52" s="27">
        <f t="shared" si="5"/>
        <v>30873.940000000002</v>
      </c>
    </row>
    <row r="53" spans="1:21">
      <c r="A53" s="26" t="s">
        <v>54</v>
      </c>
      <c r="B53" s="15" t="s">
        <v>44</v>
      </c>
      <c r="C53" s="25">
        <v>46626.510999999999</v>
      </c>
      <c r="D53" s="25"/>
      <c r="E53" s="1">
        <f t="shared" ref="E53:E84" si="7">+(C53-C$7)/C$8</f>
        <v>-7182.4959583710752</v>
      </c>
      <c r="F53" s="1">
        <f t="shared" ref="F53:F84" si="8">ROUND(2*E53,0)/2</f>
        <v>-7182.5</v>
      </c>
      <c r="G53" s="1">
        <f t="shared" si="6"/>
        <v>4.1063000026042573E-3</v>
      </c>
      <c r="I53" s="1">
        <f>+G53</f>
        <v>4.1063000026042573E-3</v>
      </c>
      <c r="O53" s="1">
        <f t="shared" ref="O53:O84" ca="1" si="9">+C$11+C$12*$F53</f>
        <v>8.1485300314844281E-4</v>
      </c>
      <c r="Q53" s="27">
        <f t="shared" ref="Q53:Q84" si="10">+C53-15018.5</f>
        <v>31608.010999999999</v>
      </c>
    </row>
    <row r="54" spans="1:21">
      <c r="A54" s="26" t="s">
        <v>54</v>
      </c>
      <c r="B54" s="15" t="s">
        <v>44</v>
      </c>
      <c r="C54" s="25">
        <v>46627.521000000001</v>
      </c>
      <c r="D54" s="25"/>
      <c r="E54" s="1">
        <f t="shared" si="7"/>
        <v>-7181.5018650961474</v>
      </c>
      <c r="F54" s="1">
        <f t="shared" si="8"/>
        <v>-7181.5</v>
      </c>
      <c r="G54" s="1">
        <f t="shared" si="6"/>
        <v>-1.8949399964185432E-3</v>
      </c>
      <c r="I54" s="1">
        <f>+G54</f>
        <v>-1.8949399964185432E-3</v>
      </c>
      <c r="O54" s="1">
        <f t="shared" ca="1" si="9"/>
        <v>8.1473860496823801E-4</v>
      </c>
      <c r="Q54" s="27">
        <f t="shared" si="10"/>
        <v>31609.021000000001</v>
      </c>
    </row>
    <row r="55" spans="1:21">
      <c r="A55" s="26" t="s">
        <v>55</v>
      </c>
      <c r="B55" s="15"/>
      <c r="C55" s="25">
        <v>46917.618000000002</v>
      </c>
      <c r="D55" s="25"/>
      <c r="E55" s="1">
        <f t="shared" si="7"/>
        <v>-6895.9736702683522</v>
      </c>
      <c r="F55" s="1">
        <f t="shared" si="8"/>
        <v>-6896</v>
      </c>
      <c r="O55" s="1">
        <f t="shared" ca="1" si="9"/>
        <v>7.8207792451975237E-4</v>
      </c>
      <c r="Q55" s="27">
        <f t="shared" si="10"/>
        <v>31899.118000000002</v>
      </c>
      <c r="U55" s="12">
        <v>1.5078180003911257E-2</v>
      </c>
    </row>
    <row r="56" spans="1:21">
      <c r="A56" s="30" t="s">
        <v>56</v>
      </c>
      <c r="B56" s="29" t="s">
        <v>46</v>
      </c>
      <c r="C56" s="25">
        <v>47346.341099999998</v>
      </c>
      <c r="D56" s="25">
        <v>5.9999999999999995E-4</v>
      </c>
      <c r="E56" s="1">
        <f t="shared" si="7"/>
        <v>-6474.0026301542712</v>
      </c>
      <c r="F56" s="1">
        <f t="shared" si="8"/>
        <v>-6474</v>
      </c>
      <c r="G56" s="1">
        <f t="shared" ref="G56:G87" si="11">+C56-(C$7+F56*C$8)</f>
        <v>-2.6722399998106994E-3</v>
      </c>
      <c r="J56" s="1">
        <f t="shared" ref="J56:J62" si="12">+G56</f>
        <v>-2.6722399998106994E-3</v>
      </c>
      <c r="O56" s="1">
        <f t="shared" ca="1" si="9"/>
        <v>7.3380189247330453E-4</v>
      </c>
      <c r="Q56" s="27">
        <f t="shared" si="10"/>
        <v>32327.841099999998</v>
      </c>
    </row>
    <row r="57" spans="1:21">
      <c r="A57" s="30" t="s">
        <v>56</v>
      </c>
      <c r="B57" s="29" t="s">
        <v>46</v>
      </c>
      <c r="C57" s="25">
        <v>47347.357900000003</v>
      </c>
      <c r="D57" s="25">
        <v>1E-3</v>
      </c>
      <c r="E57" s="1">
        <f t="shared" si="7"/>
        <v>-6473.0018439741243</v>
      </c>
      <c r="F57" s="1">
        <f t="shared" si="8"/>
        <v>-6473</v>
      </c>
      <c r="G57" s="1">
        <f t="shared" si="11"/>
        <v>-1.873479995992966E-3</v>
      </c>
      <c r="J57" s="1">
        <f t="shared" si="12"/>
        <v>-1.873479995992966E-3</v>
      </c>
      <c r="O57" s="1">
        <f t="shared" ca="1" si="9"/>
        <v>7.3368749429309952E-4</v>
      </c>
      <c r="Q57" s="27">
        <f t="shared" si="10"/>
        <v>32328.857900000003</v>
      </c>
    </row>
    <row r="58" spans="1:21">
      <c r="A58" s="30" t="s">
        <v>56</v>
      </c>
      <c r="B58" s="29" t="s">
        <v>46</v>
      </c>
      <c r="C58" s="25">
        <v>47348.373</v>
      </c>
      <c r="D58" s="25">
        <v>1.1000000000000001E-3</v>
      </c>
      <c r="E58" s="1">
        <f t="shared" si="7"/>
        <v>-6472.0027310202886</v>
      </c>
      <c r="F58" s="1">
        <f t="shared" si="8"/>
        <v>-6472</v>
      </c>
      <c r="G58" s="1">
        <f t="shared" si="11"/>
        <v>-2.7747200001613237E-3</v>
      </c>
      <c r="J58" s="1">
        <f t="shared" si="12"/>
        <v>-2.7747200001613237E-3</v>
      </c>
      <c r="O58" s="1">
        <f t="shared" ca="1" si="9"/>
        <v>7.3357309611289472E-4</v>
      </c>
      <c r="Q58" s="27">
        <f t="shared" si="10"/>
        <v>32329.873</v>
      </c>
    </row>
    <row r="59" spans="1:21">
      <c r="A59" s="30" t="s">
        <v>56</v>
      </c>
      <c r="B59" s="29" t="s">
        <v>46</v>
      </c>
      <c r="C59" s="25">
        <v>47349.390299999999</v>
      </c>
      <c r="D59" s="25">
        <v>1.2999999999999999E-3</v>
      </c>
      <c r="E59" s="1">
        <f t="shared" si="7"/>
        <v>-6471.0014527147623</v>
      </c>
      <c r="F59" s="1">
        <f t="shared" si="8"/>
        <v>-6471</v>
      </c>
      <c r="G59" s="1">
        <f t="shared" si="11"/>
        <v>-1.4759600016986951E-3</v>
      </c>
      <c r="J59" s="1">
        <f t="shared" si="12"/>
        <v>-1.4759600016986951E-3</v>
      </c>
      <c r="O59" s="1">
        <f t="shared" ca="1" si="9"/>
        <v>7.3345869793268992E-4</v>
      </c>
      <c r="Q59" s="27">
        <f t="shared" si="10"/>
        <v>32330.890299999999</v>
      </c>
    </row>
    <row r="60" spans="1:21">
      <c r="A60" s="30" t="s">
        <v>56</v>
      </c>
      <c r="B60" s="29" t="s">
        <v>46</v>
      </c>
      <c r="C60" s="25">
        <v>47351.4211</v>
      </c>
      <c r="D60" s="25">
        <v>4.0000000000000002E-4</v>
      </c>
      <c r="E60" s="1">
        <f t="shared" si="7"/>
        <v>-6469.002636256625</v>
      </c>
      <c r="F60" s="1">
        <f t="shared" si="8"/>
        <v>-6469</v>
      </c>
      <c r="G60" s="1">
        <f t="shared" si="11"/>
        <v>-2.6784400033648126E-3</v>
      </c>
      <c r="J60" s="1">
        <f t="shared" si="12"/>
        <v>-2.6784400033648126E-3</v>
      </c>
      <c r="O60" s="1">
        <f t="shared" ca="1" si="9"/>
        <v>7.3322990157228011E-4</v>
      </c>
      <c r="Q60" s="27">
        <f t="shared" si="10"/>
        <v>32332.9211</v>
      </c>
    </row>
    <row r="61" spans="1:21">
      <c r="A61" s="30" t="s">
        <v>56</v>
      </c>
      <c r="B61" s="29" t="s">
        <v>44</v>
      </c>
      <c r="C61" s="25">
        <v>47377.3338</v>
      </c>
      <c r="D61" s="25">
        <v>8.9999999999999998E-4</v>
      </c>
      <c r="E61" s="1">
        <f t="shared" si="7"/>
        <v>-6443.4980414000274</v>
      </c>
      <c r="F61" s="1">
        <f t="shared" si="8"/>
        <v>-6443.5</v>
      </c>
      <c r="G61" s="1">
        <f t="shared" si="11"/>
        <v>1.9899399994756095E-3</v>
      </c>
      <c r="J61" s="1">
        <f t="shared" si="12"/>
        <v>1.9899399994756095E-3</v>
      </c>
      <c r="O61" s="1">
        <f t="shared" ca="1" si="9"/>
        <v>7.3031274797705648E-4</v>
      </c>
      <c r="Q61" s="27">
        <f t="shared" si="10"/>
        <v>32358.8338</v>
      </c>
    </row>
    <row r="62" spans="1:21">
      <c r="A62" s="30" t="s">
        <v>56</v>
      </c>
      <c r="B62" s="29" t="s">
        <v>44</v>
      </c>
      <c r="C62" s="25">
        <v>47382.4136</v>
      </c>
      <c r="D62" s="25">
        <v>1E-3</v>
      </c>
      <c r="E62" s="1">
        <f t="shared" si="7"/>
        <v>-6438.4982443525359</v>
      </c>
      <c r="F62" s="1">
        <f t="shared" si="8"/>
        <v>-6438.5</v>
      </c>
      <c r="G62" s="1">
        <f t="shared" si="11"/>
        <v>1.7837400009739213E-3</v>
      </c>
      <c r="J62" s="1">
        <f t="shared" si="12"/>
        <v>1.7837400009739213E-3</v>
      </c>
      <c r="O62" s="1">
        <f t="shared" ca="1" si="9"/>
        <v>7.2974075707603206E-4</v>
      </c>
      <c r="Q62" s="27">
        <f t="shared" si="10"/>
        <v>32363.9136</v>
      </c>
    </row>
    <row r="63" spans="1:21">
      <c r="A63" s="26" t="s">
        <v>57</v>
      </c>
      <c r="B63" s="15"/>
      <c r="C63" s="25">
        <v>47412.385000000002</v>
      </c>
      <c r="D63" s="25"/>
      <c r="E63" s="1">
        <f t="shared" si="7"/>
        <v>-6408.9988709068866</v>
      </c>
      <c r="F63" s="1">
        <f t="shared" si="8"/>
        <v>-6409</v>
      </c>
      <c r="G63" s="1">
        <f t="shared" si="11"/>
        <v>1.1471600009826943E-3</v>
      </c>
      <c r="I63" s="1">
        <f>+G63</f>
        <v>1.1471600009826943E-3</v>
      </c>
      <c r="O63" s="1">
        <f t="shared" ca="1" si="9"/>
        <v>7.2636601075998903E-4</v>
      </c>
      <c r="Q63" s="27">
        <f t="shared" si="10"/>
        <v>32393.885000000002</v>
      </c>
    </row>
    <row r="64" spans="1:21">
      <c r="A64" s="30" t="s">
        <v>56</v>
      </c>
      <c r="B64" s="29" t="s">
        <v>46</v>
      </c>
      <c r="C64" s="25">
        <v>47732.422299999998</v>
      </c>
      <c r="D64" s="25">
        <v>5.0000000000000001E-4</v>
      </c>
      <c r="E64" s="1">
        <f t="shared" si="7"/>
        <v>-6094.001912832312</v>
      </c>
      <c r="F64" s="1">
        <f t="shared" si="8"/>
        <v>-6094</v>
      </c>
      <c r="G64" s="1">
        <f t="shared" si="11"/>
        <v>-1.9434400019235909E-3</v>
      </c>
      <c r="J64" s="1">
        <f>+G64</f>
        <v>-1.9434400019235909E-3</v>
      </c>
      <c r="O64" s="1">
        <f t="shared" ca="1" si="9"/>
        <v>6.9033058399546035E-4</v>
      </c>
      <c r="Q64" s="27">
        <f t="shared" si="10"/>
        <v>32713.922299999998</v>
      </c>
    </row>
    <row r="65" spans="1:17">
      <c r="A65" s="26" t="s">
        <v>58</v>
      </c>
      <c r="B65" s="15"/>
      <c r="C65" s="25">
        <v>48113.421000000002</v>
      </c>
      <c r="D65" s="25"/>
      <c r="E65" s="1">
        <f t="shared" si="7"/>
        <v>-5719.0036500349124</v>
      </c>
      <c r="F65" s="1">
        <f t="shared" si="8"/>
        <v>-5719</v>
      </c>
      <c r="G65" s="1">
        <f t="shared" si="11"/>
        <v>-3.708439995534718E-3</v>
      </c>
      <c r="I65" s="1">
        <f>+G65</f>
        <v>-3.708439995534718E-3</v>
      </c>
      <c r="O65" s="1">
        <f t="shared" ca="1" si="9"/>
        <v>6.4743126641864037E-4</v>
      </c>
      <c r="Q65" s="27">
        <f t="shared" si="10"/>
        <v>33094.921000000002</v>
      </c>
    </row>
    <row r="66" spans="1:17">
      <c r="A66" s="26" t="s">
        <v>59</v>
      </c>
      <c r="B66" s="31"/>
      <c r="C66" s="32">
        <v>49511.451000000001</v>
      </c>
      <c r="D66" s="32">
        <v>1.4E-3</v>
      </c>
      <c r="E66" s="26">
        <f t="shared" si="7"/>
        <v>-4342.991549892201</v>
      </c>
      <c r="F66" s="1">
        <f t="shared" si="8"/>
        <v>-4343</v>
      </c>
      <c r="G66" s="1">
        <f t="shared" si="11"/>
        <v>8.5853199998382479E-3</v>
      </c>
      <c r="I66" s="1">
        <f>+G66</f>
        <v>8.5853199998382479E-3</v>
      </c>
      <c r="O66" s="1">
        <f t="shared" ca="1" si="9"/>
        <v>4.9001937045676245E-4</v>
      </c>
      <c r="Q66" s="27">
        <f t="shared" si="10"/>
        <v>34492.951000000001</v>
      </c>
    </row>
    <row r="67" spans="1:17">
      <c r="A67" s="22" t="s">
        <v>60</v>
      </c>
      <c r="B67" s="23" t="s">
        <v>46</v>
      </c>
      <c r="C67" s="24">
        <v>49515.512000000002</v>
      </c>
      <c r="D67" s="25"/>
      <c r="E67" s="26">
        <f t="shared" si="7"/>
        <v>-4338.994507526385</v>
      </c>
      <c r="F67" s="1">
        <f t="shared" si="8"/>
        <v>-4339</v>
      </c>
      <c r="G67" s="1">
        <f t="shared" si="11"/>
        <v>5.5803600043873303E-3</v>
      </c>
      <c r="K67" s="1">
        <f>+G67</f>
        <v>5.5803600043873303E-3</v>
      </c>
      <c r="O67" s="1">
        <f t="shared" ca="1" si="9"/>
        <v>4.8956177773594304E-4</v>
      </c>
      <c r="Q67" s="27">
        <f t="shared" si="10"/>
        <v>34497.012000000002</v>
      </c>
    </row>
    <row r="68" spans="1:17">
      <c r="A68" s="22" t="s">
        <v>61</v>
      </c>
      <c r="B68" s="23" t="s">
        <v>44</v>
      </c>
      <c r="C68" s="24">
        <v>49539.377500000002</v>
      </c>
      <c r="D68" s="25"/>
      <c r="E68" s="26">
        <f t="shared" si="7"/>
        <v>-4315.5048708405093</v>
      </c>
      <c r="F68" s="1">
        <f t="shared" si="8"/>
        <v>-4315.5</v>
      </c>
      <c r="G68" s="1">
        <f t="shared" si="11"/>
        <v>-4.9487799988128245E-3</v>
      </c>
      <c r="J68" s="1">
        <f t="shared" ref="J68:J74" si="13">+G68</f>
        <v>-4.9487799988128245E-3</v>
      </c>
      <c r="O68" s="1">
        <f t="shared" ca="1" si="9"/>
        <v>4.8687342050112906E-4</v>
      </c>
      <c r="Q68" s="27">
        <f t="shared" si="10"/>
        <v>34520.877500000002</v>
      </c>
    </row>
    <row r="69" spans="1:17">
      <c r="A69" s="22" t="s">
        <v>61</v>
      </c>
      <c r="B69" s="23" t="s">
        <v>44</v>
      </c>
      <c r="C69" s="24">
        <v>49546.492100000003</v>
      </c>
      <c r="D69" s="25"/>
      <c r="E69" s="26">
        <f t="shared" si="7"/>
        <v>-4308.5023203318096</v>
      </c>
      <c r="F69" s="1">
        <f t="shared" si="8"/>
        <v>-4308.5</v>
      </c>
      <c r="G69" s="1">
        <f t="shared" si="11"/>
        <v>-2.3574599981657229E-3</v>
      </c>
      <c r="J69" s="1">
        <f t="shared" si="13"/>
        <v>-2.3574599981657229E-3</v>
      </c>
      <c r="O69" s="1">
        <f t="shared" ca="1" si="9"/>
        <v>4.8607263323969515E-4</v>
      </c>
      <c r="Q69" s="27">
        <f t="shared" si="10"/>
        <v>34527.992100000003</v>
      </c>
    </row>
    <row r="70" spans="1:17">
      <c r="A70" s="22" t="s">
        <v>61</v>
      </c>
      <c r="B70" s="23" t="s">
        <v>46</v>
      </c>
      <c r="C70" s="24">
        <v>49567.328999999998</v>
      </c>
      <c r="D70" s="25"/>
      <c r="E70" s="26">
        <f t="shared" si="7"/>
        <v>-4287.9935855196409</v>
      </c>
      <c r="F70" s="1">
        <f t="shared" si="8"/>
        <v>-4288</v>
      </c>
      <c r="G70" s="1">
        <f t="shared" si="11"/>
        <v>6.517119996715337E-3</v>
      </c>
      <c r="J70" s="1">
        <f t="shared" si="13"/>
        <v>6.517119996715337E-3</v>
      </c>
      <c r="O70" s="1">
        <f t="shared" ca="1" si="9"/>
        <v>4.8372747054549562E-4</v>
      </c>
      <c r="Q70" s="27">
        <f t="shared" si="10"/>
        <v>34548.828999999998</v>
      </c>
    </row>
    <row r="71" spans="1:17">
      <c r="A71" s="22" t="s">
        <v>61</v>
      </c>
      <c r="B71" s="23" t="s">
        <v>46</v>
      </c>
      <c r="C71" s="24">
        <v>50269.383399999999</v>
      </c>
      <c r="D71" s="25"/>
      <c r="E71" s="26">
        <f t="shared" si="7"/>
        <v>-3596.9960036662951</v>
      </c>
      <c r="F71" s="1">
        <f t="shared" si="8"/>
        <v>-3597</v>
      </c>
      <c r="G71" s="1">
        <f t="shared" si="11"/>
        <v>4.0602799999760464E-3</v>
      </c>
      <c r="J71" s="1">
        <f t="shared" si="13"/>
        <v>4.0602799999760464E-3</v>
      </c>
      <c r="O71" s="1">
        <f t="shared" ca="1" si="9"/>
        <v>4.0467832802394216E-4</v>
      </c>
      <c r="Q71" s="27">
        <f t="shared" si="10"/>
        <v>35250.883399999999</v>
      </c>
    </row>
    <row r="72" spans="1:17">
      <c r="A72" s="22" t="s">
        <v>61</v>
      </c>
      <c r="B72" s="23" t="s">
        <v>46</v>
      </c>
      <c r="C72" s="24">
        <v>50274.463400000001</v>
      </c>
      <c r="D72" s="25"/>
      <c r="E72" s="26">
        <f t="shared" si="7"/>
        <v>-3591.996009768648</v>
      </c>
      <c r="F72" s="1">
        <f t="shared" si="8"/>
        <v>-3592</v>
      </c>
      <c r="G72" s="1">
        <f t="shared" si="11"/>
        <v>4.0540800036978908E-3</v>
      </c>
      <c r="J72" s="1">
        <f t="shared" si="13"/>
        <v>4.0540800036978908E-3</v>
      </c>
      <c r="O72" s="1">
        <f t="shared" ca="1" si="9"/>
        <v>4.0410633712291785E-4</v>
      </c>
      <c r="Q72" s="27">
        <f t="shared" si="10"/>
        <v>35255.963400000001</v>
      </c>
    </row>
    <row r="73" spans="1:17">
      <c r="A73" s="26" t="s">
        <v>62</v>
      </c>
      <c r="B73" s="31"/>
      <c r="C73" s="32">
        <v>50653.432399999998</v>
      </c>
      <c r="D73" s="32"/>
      <c r="E73" s="26">
        <f t="shared" si="7"/>
        <v>-3218.9954807535482</v>
      </c>
      <c r="F73" s="1">
        <f t="shared" si="8"/>
        <v>-3219</v>
      </c>
      <c r="G73" s="1">
        <f t="shared" si="11"/>
        <v>4.591559998516459E-3</v>
      </c>
      <c r="J73" s="1">
        <f t="shared" si="13"/>
        <v>4.591559998516459E-3</v>
      </c>
      <c r="O73" s="1">
        <f t="shared" ca="1" si="9"/>
        <v>3.6143581590650768E-4</v>
      </c>
      <c r="Q73" s="27">
        <f t="shared" si="10"/>
        <v>35634.932399999998</v>
      </c>
    </row>
    <row r="74" spans="1:17">
      <c r="A74" s="26" t="s">
        <v>63</v>
      </c>
      <c r="B74" s="31"/>
      <c r="C74" s="32">
        <v>51354.471100000002</v>
      </c>
      <c r="D74" s="32">
        <v>2.9999999999999997E-4</v>
      </c>
      <c r="E74" s="26">
        <f t="shared" si="7"/>
        <v>-2528.9976024044977</v>
      </c>
      <c r="F74" s="1">
        <f t="shared" si="8"/>
        <v>-2529</v>
      </c>
      <c r="G74" s="1">
        <f t="shared" si="11"/>
        <v>2.4359600065508857E-3</v>
      </c>
      <c r="J74" s="1">
        <f t="shared" si="13"/>
        <v>2.4359600065508857E-3</v>
      </c>
      <c r="O74" s="1">
        <f t="shared" ca="1" si="9"/>
        <v>2.8250107156515907E-4</v>
      </c>
      <c r="Q74" s="27">
        <f t="shared" si="10"/>
        <v>36335.971100000002</v>
      </c>
    </row>
    <row r="75" spans="1:17">
      <c r="A75" s="33" t="s">
        <v>64</v>
      </c>
      <c r="B75" s="31" t="s">
        <v>46</v>
      </c>
      <c r="C75" s="32">
        <v>52503.565300000002</v>
      </c>
      <c r="D75" s="32">
        <v>1E-4</v>
      </c>
      <c r="E75" s="26">
        <f t="shared" si="7"/>
        <v>-1398.0007544085254</v>
      </c>
      <c r="F75" s="1">
        <f t="shared" si="8"/>
        <v>-1398</v>
      </c>
      <c r="G75" s="1">
        <f t="shared" si="11"/>
        <v>-7.6647999958368018E-4</v>
      </c>
      <c r="K75" s="1">
        <f>+G75</f>
        <v>-7.6647999958368018E-4</v>
      </c>
      <c r="O75" s="1">
        <f t="shared" ca="1" si="9"/>
        <v>1.5311672975347023E-4</v>
      </c>
      <c r="Q75" s="27">
        <f t="shared" si="10"/>
        <v>37485.065300000002</v>
      </c>
    </row>
    <row r="76" spans="1:17">
      <c r="A76" s="34" t="s">
        <v>65</v>
      </c>
      <c r="B76" s="35" t="s">
        <v>46</v>
      </c>
      <c r="C76" s="34">
        <v>53089.794399999999</v>
      </c>
      <c r="D76" s="34">
        <v>2.9999999999999997E-4</v>
      </c>
      <c r="E76" s="26">
        <f t="shared" si="7"/>
        <v>-821.00431294749251</v>
      </c>
      <c r="F76" s="1">
        <f t="shared" si="8"/>
        <v>-821</v>
      </c>
      <c r="G76" s="1">
        <f t="shared" si="11"/>
        <v>-4.3819600032293238E-3</v>
      </c>
      <c r="K76" s="1">
        <f>+G76</f>
        <v>-4.3819600032293238E-3</v>
      </c>
      <c r="O76" s="1">
        <f t="shared" ca="1" si="9"/>
        <v>8.710897977527001E-5</v>
      </c>
      <c r="Q76" s="27">
        <f t="shared" si="10"/>
        <v>38071.294399999999</v>
      </c>
    </row>
    <row r="77" spans="1:17">
      <c r="A77" s="34" t="s">
        <v>65</v>
      </c>
      <c r="B77" s="35" t="s">
        <v>44</v>
      </c>
      <c r="C77" s="34">
        <v>53091.826699999998</v>
      </c>
      <c r="D77" s="34">
        <v>4.0000000000000002E-4</v>
      </c>
      <c r="E77" s="26">
        <f t="shared" si="7"/>
        <v>-819.00402011320523</v>
      </c>
      <c r="F77" s="1">
        <f t="shared" si="8"/>
        <v>-819</v>
      </c>
      <c r="G77" s="1">
        <f t="shared" si="11"/>
        <v>-4.0844399991328828E-3</v>
      </c>
      <c r="K77" s="1">
        <f>+G77</f>
        <v>-4.0844399991328828E-3</v>
      </c>
      <c r="O77" s="1">
        <f t="shared" ca="1" si="9"/>
        <v>8.6880183414860307E-5</v>
      </c>
      <c r="Q77" s="27">
        <f t="shared" si="10"/>
        <v>38073.326699999998</v>
      </c>
    </row>
    <row r="78" spans="1:17">
      <c r="A78" s="22" t="s">
        <v>66</v>
      </c>
      <c r="B78" s="23" t="s">
        <v>46</v>
      </c>
      <c r="C78" s="24">
        <v>53894.464699999997</v>
      </c>
      <c r="D78" s="25"/>
      <c r="E78" s="26">
        <f t="shared" si="7"/>
        <v>-29.006952786792347</v>
      </c>
      <c r="F78" s="1">
        <f t="shared" si="8"/>
        <v>-29</v>
      </c>
      <c r="G78" s="1">
        <f t="shared" si="11"/>
        <v>-7.0640400008414872E-3</v>
      </c>
      <c r="J78" s="1">
        <f>+G78</f>
        <v>-7.0640400008414872E-3</v>
      </c>
      <c r="O78" s="1">
        <f t="shared" ca="1" si="9"/>
        <v>-3.4943789469736233E-6</v>
      </c>
      <c r="Q78" s="27">
        <f t="shared" si="10"/>
        <v>38875.964699999997</v>
      </c>
    </row>
    <row r="79" spans="1:17">
      <c r="A79" s="32" t="s">
        <v>67</v>
      </c>
      <c r="B79" s="31" t="s">
        <v>46</v>
      </c>
      <c r="C79" s="32">
        <v>54649.358200000002</v>
      </c>
      <c r="D79" s="32">
        <v>4.0000000000000002E-4</v>
      </c>
      <c r="E79" s="26">
        <f t="shared" si="7"/>
        <v>713.99755378251609</v>
      </c>
      <c r="F79" s="1">
        <f t="shared" si="8"/>
        <v>714</v>
      </c>
      <c r="G79" s="1">
        <f t="shared" si="11"/>
        <v>-2.4853599970811047E-3</v>
      </c>
      <c r="J79" s="1">
        <f>+G79</f>
        <v>-2.4853599970811047E-3</v>
      </c>
      <c r="O79" s="1">
        <f t="shared" ca="1" si="9"/>
        <v>-8.8492226839179458E-5</v>
      </c>
      <c r="Q79" s="27">
        <f t="shared" si="10"/>
        <v>39630.858200000002</v>
      </c>
    </row>
    <row r="80" spans="1:17">
      <c r="A80" s="28" t="s">
        <v>68</v>
      </c>
      <c r="B80" s="36" t="s">
        <v>46</v>
      </c>
      <c r="C80" s="28">
        <v>54742.831400000003</v>
      </c>
      <c r="D80" s="28">
        <v>8.9999999999999998E-4</v>
      </c>
      <c r="E80" s="26">
        <f t="shared" si="7"/>
        <v>805.99862260010968</v>
      </c>
      <c r="F80" s="1">
        <f t="shared" si="8"/>
        <v>806</v>
      </c>
      <c r="G80" s="1">
        <f t="shared" si="11"/>
        <v>-1.3994399996590801E-3</v>
      </c>
      <c r="K80" s="1">
        <f>+G80</f>
        <v>-1.3994399996590801E-3</v>
      </c>
      <c r="O80" s="1">
        <f t="shared" ca="1" si="9"/>
        <v>-9.9016859418025937E-5</v>
      </c>
      <c r="Q80" s="27">
        <f t="shared" si="10"/>
        <v>39724.331400000003</v>
      </c>
    </row>
    <row r="81" spans="1:17">
      <c r="A81" s="28" t="s">
        <v>68</v>
      </c>
      <c r="B81" s="36" t="s">
        <v>44</v>
      </c>
      <c r="C81" s="28">
        <v>54766.713400000001</v>
      </c>
      <c r="D81" s="28">
        <v>1.1999999999999999E-3</v>
      </c>
      <c r="E81" s="26">
        <f t="shared" si="7"/>
        <v>829.50449942364367</v>
      </c>
      <c r="F81" s="1">
        <f t="shared" si="8"/>
        <v>829.5</v>
      </c>
      <c r="G81" s="1">
        <f t="shared" si="11"/>
        <v>4.571420002321247E-3</v>
      </c>
      <c r="K81" s="1">
        <f>+G81</f>
        <v>4.571420002321247E-3</v>
      </c>
      <c r="O81" s="1">
        <f t="shared" ca="1" si="9"/>
        <v>-1.0170521665283999E-4</v>
      </c>
      <c r="Q81" s="27">
        <f t="shared" si="10"/>
        <v>39748.213400000001</v>
      </c>
    </row>
    <row r="82" spans="1:17">
      <c r="A82" s="28" t="s">
        <v>68</v>
      </c>
      <c r="B82" s="36" t="s">
        <v>44</v>
      </c>
      <c r="C82" s="28">
        <v>54769.764000000003</v>
      </c>
      <c r="D82" s="28">
        <v>1.1000000000000001E-3</v>
      </c>
      <c r="E82" s="26">
        <f t="shared" si="7"/>
        <v>832.5070548142279</v>
      </c>
      <c r="F82" s="1">
        <f t="shared" si="8"/>
        <v>832.5</v>
      </c>
      <c r="G82" s="1">
        <f t="shared" si="11"/>
        <v>7.1677000014460646E-3</v>
      </c>
      <c r="K82" s="1">
        <f>+G82</f>
        <v>7.1677000014460646E-3</v>
      </c>
      <c r="O82" s="1">
        <f t="shared" ca="1" si="9"/>
        <v>-1.0204841119345454E-4</v>
      </c>
      <c r="Q82" s="27">
        <f t="shared" si="10"/>
        <v>39751.264000000003</v>
      </c>
    </row>
    <row r="83" spans="1:17">
      <c r="A83" s="28" t="s">
        <v>69</v>
      </c>
      <c r="B83" s="36" t="s">
        <v>44</v>
      </c>
      <c r="C83" s="28">
        <v>55342.785900000003</v>
      </c>
      <c r="D83" s="28">
        <v>2.0000000000000001E-4</v>
      </c>
      <c r="E83" s="26">
        <f t="shared" si="7"/>
        <v>1396.5042995419999</v>
      </c>
      <c r="F83" s="1">
        <f t="shared" si="8"/>
        <v>1396.5</v>
      </c>
      <c r="G83" s="1">
        <f t="shared" si="11"/>
        <v>4.3683399999281392E-3</v>
      </c>
      <c r="K83" s="1">
        <f>+G83</f>
        <v>4.3683399999281392E-3</v>
      </c>
      <c r="O83" s="1">
        <f t="shared" ca="1" si="9"/>
        <v>-1.6656898482899168E-4</v>
      </c>
      <c r="Q83" s="27">
        <f t="shared" si="10"/>
        <v>40324.285900000003</v>
      </c>
    </row>
    <row r="84" spans="1:17">
      <c r="A84" s="22" t="s">
        <v>70</v>
      </c>
      <c r="B84" s="23" t="s">
        <v>46</v>
      </c>
      <c r="C84" s="24">
        <v>55352.429980000001</v>
      </c>
      <c r="D84" s="25"/>
      <c r="E84" s="26">
        <f t="shared" si="7"/>
        <v>1405.9964926814473</v>
      </c>
      <c r="F84" s="1">
        <f t="shared" si="8"/>
        <v>1406</v>
      </c>
      <c r="G84" s="1">
        <f t="shared" si="11"/>
        <v>-3.5634399973787367E-3</v>
      </c>
      <c r="H84" s="1">
        <f>+G84</f>
        <v>-3.5634399973787367E-3</v>
      </c>
      <c r="O84" s="1">
        <f t="shared" ca="1" si="9"/>
        <v>-1.676557675409378E-4</v>
      </c>
      <c r="Q84" s="27">
        <f t="shared" si="10"/>
        <v>40333.929980000001</v>
      </c>
    </row>
    <row r="85" spans="1:17">
      <c r="A85" s="22" t="s">
        <v>70</v>
      </c>
      <c r="B85" s="23" t="s">
        <v>46</v>
      </c>
      <c r="C85" s="24">
        <v>55356.494129999999</v>
      </c>
      <c r="D85" s="25"/>
      <c r="E85" s="26">
        <f t="shared" ref="E85:E113" si="14">+(C85-C$7)/C$8</f>
        <v>1409.996635437177</v>
      </c>
      <c r="F85" s="1">
        <f t="shared" ref="F85:F116" si="15">ROUND(2*E85,0)/2</f>
        <v>1410</v>
      </c>
      <c r="G85" s="1">
        <f t="shared" si="11"/>
        <v>-3.4184000032837503E-3</v>
      </c>
      <c r="H85" s="1">
        <f>+G85</f>
        <v>-3.4184000032837503E-3</v>
      </c>
      <c r="O85" s="1">
        <f t="shared" ref="O85:O113" ca="1" si="16">+C$11+C$12*$F85</f>
        <v>-1.681133602617572E-4</v>
      </c>
      <c r="Q85" s="27">
        <f t="shared" ref="Q85:Q113" si="17">+C85-15018.5</f>
        <v>40337.994129999999</v>
      </c>
    </row>
    <row r="86" spans="1:17">
      <c r="A86" s="22" t="s">
        <v>70</v>
      </c>
      <c r="B86" s="23" t="s">
        <v>46</v>
      </c>
      <c r="C86" s="24">
        <v>55357.510139999999</v>
      </c>
      <c r="D86" s="25"/>
      <c r="E86" s="26">
        <f t="shared" si="14"/>
        <v>1410.9966440592132</v>
      </c>
      <c r="F86" s="1">
        <f t="shared" si="15"/>
        <v>1411</v>
      </c>
      <c r="G86" s="1">
        <f t="shared" si="11"/>
        <v>-3.4096399976988323E-3</v>
      </c>
      <c r="H86" s="1">
        <f>+G86</f>
        <v>-3.4096399976988323E-3</v>
      </c>
      <c r="O86" s="1">
        <f t="shared" ca="1" si="16"/>
        <v>-1.6822775844196205E-4</v>
      </c>
      <c r="Q86" s="27">
        <f t="shared" si="17"/>
        <v>40339.010139999999</v>
      </c>
    </row>
    <row r="87" spans="1:17">
      <c r="A87" s="22" t="s">
        <v>70</v>
      </c>
      <c r="B87" s="23" t="s">
        <v>44</v>
      </c>
      <c r="C87" s="24">
        <v>55379.360849999997</v>
      </c>
      <c r="D87" s="25"/>
      <c r="E87" s="26">
        <f t="shared" si="14"/>
        <v>1432.5032221417348</v>
      </c>
      <c r="F87" s="1">
        <f t="shared" si="15"/>
        <v>1432.5</v>
      </c>
      <c r="G87" s="1">
        <f t="shared" si="11"/>
        <v>3.2737000001361594E-3</v>
      </c>
      <c r="H87" s="1">
        <f>+G87</f>
        <v>3.2737000001361594E-3</v>
      </c>
      <c r="O87" s="1">
        <f t="shared" ca="1" si="16"/>
        <v>-1.7068731931636639E-4</v>
      </c>
      <c r="Q87" s="27">
        <f t="shared" si="17"/>
        <v>40360.860849999997</v>
      </c>
    </row>
    <row r="88" spans="1:17">
      <c r="A88" s="22" t="s">
        <v>70</v>
      </c>
      <c r="B88" s="23" t="s">
        <v>44</v>
      </c>
      <c r="C88" s="24">
        <v>55382.409090000001</v>
      </c>
      <c r="D88" s="25"/>
      <c r="E88" s="26">
        <f t="shared" si="14"/>
        <v>1435.5034547005098</v>
      </c>
      <c r="F88" s="1">
        <f t="shared" si="15"/>
        <v>1435.5</v>
      </c>
      <c r="G88" s="1">
        <f t="shared" ref="G88:G113" si="18">+C88-(C$7+F88*C$8)</f>
        <v>3.5099800006719306E-3</v>
      </c>
      <c r="H88" s="1">
        <f>+G88</f>
        <v>3.5099800006719306E-3</v>
      </c>
      <c r="O88" s="1">
        <f t="shared" ca="1" si="16"/>
        <v>-1.7103051385698094E-4</v>
      </c>
      <c r="Q88" s="27">
        <f t="shared" si="17"/>
        <v>40363.909090000001</v>
      </c>
    </row>
    <row r="89" spans="1:17">
      <c r="A89" s="22" t="s">
        <v>71</v>
      </c>
      <c r="B89" s="23" t="s">
        <v>46</v>
      </c>
      <c r="C89" s="24">
        <v>55676.534599999999</v>
      </c>
      <c r="D89" s="25"/>
      <c r="E89" s="26">
        <f t="shared" si="14"/>
        <v>1724.9967135866877</v>
      </c>
      <c r="F89" s="1">
        <f t="shared" si="15"/>
        <v>1725</v>
      </c>
      <c r="G89" s="1">
        <f t="shared" si="18"/>
        <v>-3.3390000025974587E-3</v>
      </c>
      <c r="K89" s="1">
        <f>+G89</f>
        <v>-3.3390000025974587E-3</v>
      </c>
      <c r="O89" s="1">
        <f t="shared" ca="1" si="16"/>
        <v>-2.0414878702628591E-4</v>
      </c>
      <c r="Q89" s="27">
        <f t="shared" si="17"/>
        <v>40658.034599999999</v>
      </c>
    </row>
    <row r="90" spans="1:17">
      <c r="A90" s="33" t="s">
        <v>72</v>
      </c>
      <c r="B90" s="31" t="s">
        <v>44</v>
      </c>
      <c r="C90" s="32">
        <v>55766.45493</v>
      </c>
      <c r="D90" s="32">
        <v>1E-4</v>
      </c>
      <c r="E90" s="26">
        <f t="shared" si="14"/>
        <v>1813.5008673808318</v>
      </c>
      <c r="F90" s="1">
        <f t="shared" si="15"/>
        <v>1813.5</v>
      </c>
      <c r="G90" s="1">
        <f t="shared" si="18"/>
        <v>8.8125999900512397E-4</v>
      </c>
      <c r="K90" s="1">
        <f>+G90</f>
        <v>8.8125999900512397E-4</v>
      </c>
      <c r="O90" s="1">
        <f t="shared" ca="1" si="16"/>
        <v>-2.1427302597441542E-4</v>
      </c>
      <c r="Q90" s="27">
        <f t="shared" si="17"/>
        <v>40747.95493</v>
      </c>
    </row>
    <row r="91" spans="1:17">
      <c r="A91" s="32" t="s">
        <v>73</v>
      </c>
      <c r="B91" s="31" t="s">
        <v>46</v>
      </c>
      <c r="C91" s="32">
        <v>56078.873299999999</v>
      </c>
      <c r="D91" s="32">
        <v>2.9999999999999997E-4</v>
      </c>
      <c r="E91" s="26">
        <f t="shared" si="14"/>
        <v>2120.9988877572628</v>
      </c>
      <c r="F91" s="1">
        <f t="shared" si="15"/>
        <v>2121</v>
      </c>
      <c r="G91" s="1">
        <f t="shared" si="18"/>
        <v>-1.1300400001346134E-3</v>
      </c>
      <c r="K91" s="1">
        <f>+G91</f>
        <v>-1.1300400001346134E-3</v>
      </c>
      <c r="O91" s="1">
        <f t="shared" ca="1" si="16"/>
        <v>-2.4945046638740772E-4</v>
      </c>
      <c r="Q91" s="27">
        <f t="shared" si="17"/>
        <v>41060.373299999999</v>
      </c>
    </row>
    <row r="92" spans="1:17">
      <c r="A92" s="32" t="s">
        <v>74</v>
      </c>
      <c r="B92" s="31" t="s">
        <v>44</v>
      </c>
      <c r="C92" s="32">
        <v>56471.556080000002</v>
      </c>
      <c r="D92" s="32">
        <v>2.2000000000000001E-4</v>
      </c>
      <c r="E92" s="26">
        <f t="shared" si="14"/>
        <v>2507.4972152593068</v>
      </c>
      <c r="F92" s="1">
        <f t="shared" si="15"/>
        <v>2507.5</v>
      </c>
      <c r="G92" s="1">
        <f t="shared" si="18"/>
        <v>-2.8292999995755963E-3</v>
      </c>
      <c r="K92" s="1">
        <f>+G92</f>
        <v>-2.8292999995755963E-3</v>
      </c>
      <c r="O92" s="1">
        <f t="shared" ca="1" si="16"/>
        <v>-2.9366536303658346E-4</v>
      </c>
      <c r="Q92" s="27">
        <f t="shared" si="17"/>
        <v>41453.056080000002</v>
      </c>
    </row>
    <row r="93" spans="1:17">
      <c r="A93" s="37" t="s">
        <v>75</v>
      </c>
      <c r="B93" s="35" t="s">
        <v>46</v>
      </c>
      <c r="C93" s="32">
        <v>56495.433199999999</v>
      </c>
      <c r="D93" s="34">
        <v>6.7999999999999996E-3</v>
      </c>
      <c r="E93" s="26">
        <f t="shared" si="14"/>
        <v>2530.9982889390963</v>
      </c>
      <c r="F93" s="1">
        <f t="shared" si="15"/>
        <v>2531</v>
      </c>
      <c r="G93" s="1">
        <f t="shared" si="18"/>
        <v>-1.7384399980073795E-3</v>
      </c>
      <c r="J93" s="1">
        <f>+G93</f>
        <v>-1.7384399980073795E-3</v>
      </c>
      <c r="O93" s="1">
        <f t="shared" ca="1" si="16"/>
        <v>-2.963537202713975E-4</v>
      </c>
      <c r="Q93" s="27">
        <f t="shared" si="17"/>
        <v>41476.933199999999</v>
      </c>
    </row>
    <row r="94" spans="1:17">
      <c r="A94" s="32" t="s">
        <v>74</v>
      </c>
      <c r="B94" s="31" t="s">
        <v>46</v>
      </c>
      <c r="C94" s="32">
        <v>56497.465960000001</v>
      </c>
      <c r="D94" s="32">
        <v>5.0000000000000002E-5</v>
      </c>
      <c r="E94" s="26">
        <f t="shared" si="14"/>
        <v>2532.9990345287392</v>
      </c>
      <c r="F94" s="1">
        <f t="shared" si="15"/>
        <v>2533</v>
      </c>
      <c r="G94" s="1">
        <f t="shared" si="18"/>
        <v>-9.8091999825555831E-4</v>
      </c>
      <c r="K94" s="1">
        <f>+G94</f>
        <v>-9.8091999825555831E-4</v>
      </c>
      <c r="O94" s="1">
        <f t="shared" ca="1" si="16"/>
        <v>-2.965825166318072E-4</v>
      </c>
      <c r="Q94" s="27">
        <f t="shared" si="17"/>
        <v>41478.965960000001</v>
      </c>
    </row>
    <row r="95" spans="1:17">
      <c r="A95" s="33" t="s">
        <v>72</v>
      </c>
      <c r="B95" s="31" t="s">
        <v>46</v>
      </c>
      <c r="C95" s="32">
        <v>56497.46617</v>
      </c>
      <c r="D95" s="32">
        <v>2.0000000000000001E-4</v>
      </c>
      <c r="E95" s="26">
        <f t="shared" si="14"/>
        <v>2532.9992412213987</v>
      </c>
      <c r="F95" s="1">
        <f t="shared" si="15"/>
        <v>2533</v>
      </c>
      <c r="G95" s="1">
        <f t="shared" si="18"/>
        <v>-7.7091999992262572E-4</v>
      </c>
      <c r="K95" s="1">
        <f>+G95</f>
        <v>-7.7091999992262572E-4</v>
      </c>
      <c r="O95" s="1">
        <f t="shared" ca="1" si="16"/>
        <v>-2.965825166318072E-4</v>
      </c>
      <c r="Q95" s="27">
        <f t="shared" si="17"/>
        <v>41478.96617</v>
      </c>
    </row>
    <row r="96" spans="1:17">
      <c r="A96" s="37" t="s">
        <v>75</v>
      </c>
      <c r="B96" s="35" t="s">
        <v>46</v>
      </c>
      <c r="C96" s="32">
        <v>56527.435599999997</v>
      </c>
      <c r="D96" s="34">
        <v>1.5E-3</v>
      </c>
      <c r="E96" s="26">
        <f t="shared" si="14"/>
        <v>2562.4966756930312</v>
      </c>
      <c r="F96" s="1">
        <f t="shared" si="15"/>
        <v>2562.5</v>
      </c>
      <c r="G96" s="1">
        <f t="shared" si="18"/>
        <v>-3.3775000047171488E-3</v>
      </c>
      <c r="J96" s="1">
        <f>+G96</f>
        <v>-3.3775000047171488E-3</v>
      </c>
      <c r="O96" s="1">
        <f t="shared" ca="1" si="16"/>
        <v>-2.9995726294785034E-4</v>
      </c>
      <c r="Q96" s="27">
        <f t="shared" si="17"/>
        <v>41508.935599999997</v>
      </c>
    </row>
    <row r="97" spans="1:17">
      <c r="A97" s="32" t="s">
        <v>74</v>
      </c>
      <c r="B97" s="31" t="s">
        <v>44</v>
      </c>
      <c r="C97" s="32">
        <v>56582.299630000001</v>
      </c>
      <c r="D97" s="32">
        <v>4.0000000000000002E-4</v>
      </c>
      <c r="E97" s="26">
        <f t="shared" si="14"/>
        <v>2616.4966393151271</v>
      </c>
      <c r="F97" s="1">
        <f t="shared" si="15"/>
        <v>2616.5</v>
      </c>
      <c r="G97" s="1">
        <f t="shared" si="18"/>
        <v>-3.4144599994760938E-3</v>
      </c>
      <c r="K97" s="1">
        <f>+G97</f>
        <v>-3.4144599994760938E-3</v>
      </c>
      <c r="O97" s="1">
        <f t="shared" ca="1" si="16"/>
        <v>-3.0613476467891243E-4</v>
      </c>
      <c r="Q97" s="27">
        <f t="shared" si="17"/>
        <v>41563.799630000001</v>
      </c>
    </row>
    <row r="98" spans="1:17">
      <c r="A98" s="32" t="s">
        <v>74</v>
      </c>
      <c r="B98" s="31" t="s">
        <v>44</v>
      </c>
      <c r="C98" s="32">
        <v>56728.603459999998</v>
      </c>
      <c r="D98" s="32">
        <v>1E-4</v>
      </c>
      <c r="E98" s="26">
        <f t="shared" si="14"/>
        <v>2760.4962962446771</v>
      </c>
      <c r="F98" s="1">
        <f t="shared" si="15"/>
        <v>2760.5</v>
      </c>
      <c r="G98" s="1">
        <f t="shared" si="18"/>
        <v>-3.7630200022249483E-3</v>
      </c>
      <c r="K98" s="1">
        <f>+G98</f>
        <v>-3.7630200022249483E-3</v>
      </c>
      <c r="O98" s="1">
        <f t="shared" ca="1" si="16"/>
        <v>-3.2260810262841125E-4</v>
      </c>
      <c r="Q98" s="27">
        <f t="shared" si="17"/>
        <v>41710.103459999998</v>
      </c>
    </row>
    <row r="99" spans="1:17">
      <c r="A99" s="32" t="s">
        <v>74</v>
      </c>
      <c r="B99" s="31" t="s">
        <v>46</v>
      </c>
      <c r="C99" s="32">
        <v>56814.459860000003</v>
      </c>
      <c r="D99" s="32">
        <v>8.8000000000000003E-4</v>
      </c>
      <c r="E99" s="26">
        <f t="shared" si="14"/>
        <v>2845.0005238182616</v>
      </c>
      <c r="F99" s="1">
        <f t="shared" si="15"/>
        <v>2845</v>
      </c>
      <c r="G99" s="1">
        <f t="shared" si="18"/>
        <v>5.3220000700093806E-4</v>
      </c>
      <c r="K99" s="1">
        <f>+G99</f>
        <v>5.3220000700093806E-4</v>
      </c>
      <c r="O99" s="1">
        <f t="shared" ca="1" si="16"/>
        <v>-3.3227474885572138E-4</v>
      </c>
      <c r="Q99" s="27">
        <f t="shared" si="17"/>
        <v>41795.959860000003</v>
      </c>
    </row>
    <row r="100" spans="1:17">
      <c r="A100" s="34" t="s">
        <v>76</v>
      </c>
      <c r="B100" s="35" t="s">
        <v>46</v>
      </c>
      <c r="C100" s="34">
        <v>56815.476300000002</v>
      </c>
      <c r="D100" s="34">
        <v>5.0000000000000001E-4</v>
      </c>
      <c r="E100" s="26">
        <f t="shared" si="14"/>
        <v>2846.0009556681275</v>
      </c>
      <c r="F100" s="1">
        <f t="shared" si="15"/>
        <v>2846</v>
      </c>
      <c r="G100" s="1">
        <f t="shared" si="18"/>
        <v>9.7096000536112115E-4</v>
      </c>
      <c r="J100" s="1">
        <f>+G100</f>
        <v>9.7096000536112115E-4</v>
      </c>
      <c r="O100" s="1">
        <f t="shared" ca="1" si="16"/>
        <v>-3.3238914703592623E-4</v>
      </c>
      <c r="Q100" s="27">
        <f t="shared" si="17"/>
        <v>41796.976300000002</v>
      </c>
    </row>
    <row r="101" spans="1:17">
      <c r="A101" s="38" t="s">
        <v>77</v>
      </c>
      <c r="B101" s="39" t="s">
        <v>46</v>
      </c>
      <c r="C101" s="40">
        <v>56829.700299999997</v>
      </c>
      <c r="D101" s="40">
        <v>4.0000000000000002E-4</v>
      </c>
      <c r="E101" s="26">
        <f t="shared" si="14"/>
        <v>2860.0009385815292</v>
      </c>
      <c r="F101" s="1">
        <f t="shared" si="15"/>
        <v>2860</v>
      </c>
      <c r="G101" s="1">
        <f t="shared" si="18"/>
        <v>9.5359999977517873E-4</v>
      </c>
      <c r="K101" s="1">
        <f t="shared" ref="K101:K106" si="19">+G101</f>
        <v>9.5359999977517873E-4</v>
      </c>
      <c r="O101" s="1">
        <f t="shared" ca="1" si="16"/>
        <v>-3.3399072155879415E-4</v>
      </c>
      <c r="Q101" s="27">
        <f t="shared" si="17"/>
        <v>41811.200299999997</v>
      </c>
    </row>
    <row r="102" spans="1:17">
      <c r="A102" s="32" t="s">
        <v>74</v>
      </c>
      <c r="B102" s="31" t="s">
        <v>44</v>
      </c>
      <c r="C102" s="32">
        <v>56842.39531</v>
      </c>
      <c r="D102" s="32">
        <v>4.0000000000000003E-5</v>
      </c>
      <c r="E102" s="26">
        <f t="shared" si="14"/>
        <v>2872.4960119143166</v>
      </c>
      <c r="F102" s="1">
        <f t="shared" si="15"/>
        <v>2872.5</v>
      </c>
      <c r="G102" s="1">
        <f t="shared" si="18"/>
        <v>-4.0518999958294444E-3</v>
      </c>
      <c r="K102" s="1">
        <f t="shared" si="19"/>
        <v>-4.0518999958294444E-3</v>
      </c>
      <c r="O102" s="1">
        <f t="shared" ca="1" si="16"/>
        <v>-3.3542069881135482E-4</v>
      </c>
      <c r="Q102" s="27">
        <f t="shared" si="17"/>
        <v>41823.89531</v>
      </c>
    </row>
    <row r="103" spans="1:17">
      <c r="A103" s="32" t="s">
        <v>78</v>
      </c>
      <c r="B103" s="31" t="s">
        <v>44</v>
      </c>
      <c r="C103" s="41">
        <v>56843.410969999997</v>
      </c>
      <c r="D103" s="32">
        <v>1E-4</v>
      </c>
      <c r="E103" s="26">
        <f t="shared" si="14"/>
        <v>2873.495676048582</v>
      </c>
      <c r="F103" s="1">
        <f t="shared" si="15"/>
        <v>2873.5</v>
      </c>
      <c r="G103" s="1">
        <f t="shared" si="18"/>
        <v>-4.3931399995926768E-3</v>
      </c>
      <c r="K103" s="1">
        <f t="shared" si="19"/>
        <v>-4.3931399995926768E-3</v>
      </c>
      <c r="O103" s="1">
        <f t="shared" ca="1" si="16"/>
        <v>-3.3553509699155967E-4</v>
      </c>
      <c r="Q103" s="27">
        <f t="shared" si="17"/>
        <v>41824.910969999997</v>
      </c>
    </row>
    <row r="104" spans="1:17">
      <c r="A104" s="32" t="s">
        <v>74</v>
      </c>
      <c r="B104" s="31" t="s">
        <v>46</v>
      </c>
      <c r="C104" s="32">
        <v>56876.436580000001</v>
      </c>
      <c r="D104" s="32">
        <v>2.2000000000000001E-4</v>
      </c>
      <c r="E104" s="26">
        <f t="shared" si="14"/>
        <v>2906.0011580300848</v>
      </c>
      <c r="F104" s="1">
        <f t="shared" si="15"/>
        <v>2906</v>
      </c>
      <c r="G104" s="1">
        <f t="shared" si="18"/>
        <v>1.1765599992941134E-3</v>
      </c>
      <c r="K104" s="1">
        <f t="shared" si="19"/>
        <v>1.1765599992941134E-3</v>
      </c>
      <c r="O104" s="1">
        <f t="shared" ca="1" si="16"/>
        <v>-3.3925303784821737E-4</v>
      </c>
      <c r="Q104" s="27">
        <f t="shared" si="17"/>
        <v>41857.936580000001</v>
      </c>
    </row>
    <row r="105" spans="1:17">
      <c r="A105" s="32" t="s">
        <v>74</v>
      </c>
      <c r="B105" s="31" t="s">
        <v>46</v>
      </c>
      <c r="C105" s="32">
        <v>56878.46847</v>
      </c>
      <c r="D105" s="32">
        <v>1.3999999999999999E-4</v>
      </c>
      <c r="E105" s="26">
        <f t="shared" si="14"/>
        <v>2908.0010473215571</v>
      </c>
      <c r="F105" s="1">
        <f t="shared" si="15"/>
        <v>2908</v>
      </c>
      <c r="G105" s="1">
        <f t="shared" si="18"/>
        <v>1.0640800028340891E-3</v>
      </c>
      <c r="K105" s="1">
        <f t="shared" si="19"/>
        <v>1.0640800028340891E-3</v>
      </c>
      <c r="O105" s="1">
        <f t="shared" ca="1" si="16"/>
        <v>-3.3948183420862707E-4</v>
      </c>
      <c r="Q105" s="27">
        <f t="shared" si="17"/>
        <v>41859.96847</v>
      </c>
    </row>
    <row r="106" spans="1:17">
      <c r="A106" s="38" t="s">
        <v>77</v>
      </c>
      <c r="B106" s="39" t="s">
        <v>46</v>
      </c>
      <c r="C106" s="40">
        <v>56893.709000000003</v>
      </c>
      <c r="D106" s="40">
        <v>1E-4</v>
      </c>
      <c r="E106" s="26">
        <f t="shared" si="14"/>
        <v>2923.0015506674017</v>
      </c>
      <c r="F106" s="1">
        <f t="shared" si="15"/>
        <v>2923</v>
      </c>
      <c r="G106" s="1">
        <f t="shared" si="18"/>
        <v>1.575480004248675E-3</v>
      </c>
      <c r="K106" s="1">
        <f t="shared" si="19"/>
        <v>1.575480004248675E-3</v>
      </c>
      <c r="O106" s="1">
        <f t="shared" ca="1" si="16"/>
        <v>-3.411978069116999E-4</v>
      </c>
      <c r="Q106" s="27">
        <f t="shared" si="17"/>
        <v>41875.209000000003</v>
      </c>
    </row>
    <row r="107" spans="1:17">
      <c r="A107" s="32" t="s">
        <v>79</v>
      </c>
      <c r="B107" s="31"/>
      <c r="C107" s="32">
        <v>57198.511299999998</v>
      </c>
      <c r="D107" s="32">
        <v>1.4E-3</v>
      </c>
      <c r="E107" s="26">
        <f t="shared" si="14"/>
        <v>3223.0034483028771</v>
      </c>
      <c r="F107" s="1">
        <f t="shared" si="15"/>
        <v>3223</v>
      </c>
      <c r="G107" s="1">
        <f t="shared" si="18"/>
        <v>3.503480002109427E-3</v>
      </c>
      <c r="J107" s="1">
        <f>+G107</f>
        <v>3.503480002109427E-3</v>
      </c>
      <c r="O107" s="1">
        <f t="shared" ca="1" si="16"/>
        <v>-3.7551726097315581E-4</v>
      </c>
      <c r="Q107" s="27">
        <f t="shared" si="17"/>
        <v>42180.011299999998</v>
      </c>
    </row>
    <row r="108" spans="1:17">
      <c r="A108" s="38" t="s">
        <v>77</v>
      </c>
      <c r="B108" s="39" t="s">
        <v>46</v>
      </c>
      <c r="C108" s="40">
        <v>57214.767500000002</v>
      </c>
      <c r="D108" s="40">
        <v>1E-4</v>
      </c>
      <c r="E108" s="26">
        <f t="shared" si="14"/>
        <v>3239.0036256254984</v>
      </c>
      <c r="F108" s="1">
        <f t="shared" si="15"/>
        <v>3239</v>
      </c>
      <c r="G108" s="1">
        <f t="shared" si="18"/>
        <v>3.683640003146138E-3</v>
      </c>
      <c r="K108" s="1">
        <f t="shared" ref="K108:K113" si="20">+G108</f>
        <v>3.683640003146138E-3</v>
      </c>
      <c r="O108" s="1">
        <f t="shared" ca="1" si="16"/>
        <v>-3.7734763185643349E-4</v>
      </c>
      <c r="Q108" s="27">
        <f t="shared" si="17"/>
        <v>42196.267500000002</v>
      </c>
    </row>
    <row r="109" spans="1:17">
      <c r="A109" s="42" t="s">
        <v>80</v>
      </c>
      <c r="B109" s="43" t="s">
        <v>46</v>
      </c>
      <c r="C109" s="44">
        <v>57256.424310000002</v>
      </c>
      <c r="D109" s="44">
        <v>1E-4</v>
      </c>
      <c r="E109" s="26">
        <f t="shared" si="14"/>
        <v>3280.0043728293117</v>
      </c>
      <c r="F109" s="1">
        <f t="shared" si="15"/>
        <v>3280</v>
      </c>
      <c r="G109" s="1">
        <f t="shared" si="18"/>
        <v>4.4428000037441961E-3</v>
      </c>
      <c r="K109" s="1">
        <f t="shared" si="20"/>
        <v>4.4428000037441961E-3</v>
      </c>
      <c r="O109" s="1">
        <f t="shared" ca="1" si="16"/>
        <v>-3.8203795724483245E-4</v>
      </c>
      <c r="Q109" s="27">
        <f t="shared" si="17"/>
        <v>42237.924310000002</v>
      </c>
    </row>
    <row r="110" spans="1:17">
      <c r="A110" s="38" t="s">
        <v>77</v>
      </c>
      <c r="B110" s="39" t="s">
        <v>46</v>
      </c>
      <c r="C110" s="40">
        <v>57277.760300000002</v>
      </c>
      <c r="D110" s="40">
        <v>1E-4</v>
      </c>
      <c r="E110" s="26">
        <f t="shared" si="14"/>
        <v>3301.0043373569133</v>
      </c>
      <c r="F110" s="1">
        <f t="shared" si="15"/>
        <v>3301</v>
      </c>
      <c r="G110" s="1">
        <f t="shared" si="18"/>
        <v>4.4067600028938614E-3</v>
      </c>
      <c r="K110" s="1">
        <f t="shared" si="20"/>
        <v>4.4067600028938614E-3</v>
      </c>
      <c r="O110" s="1">
        <f t="shared" ca="1" si="16"/>
        <v>-3.8444031902913438E-4</v>
      </c>
      <c r="Q110" s="27">
        <f t="shared" si="17"/>
        <v>42259.260300000002</v>
      </c>
    </row>
    <row r="111" spans="1:17">
      <c r="A111" s="45" t="s">
        <v>81</v>
      </c>
      <c r="B111" s="46" t="s">
        <v>46</v>
      </c>
      <c r="C111" s="47">
        <v>57546.484799999998</v>
      </c>
      <c r="D111" s="47">
        <v>6.9999999999999999E-4</v>
      </c>
      <c r="E111" s="26">
        <f t="shared" si="14"/>
        <v>3565.496632661589</v>
      </c>
      <c r="F111" s="1">
        <f t="shared" si="15"/>
        <v>3565.5</v>
      </c>
      <c r="G111" s="1">
        <f t="shared" si="18"/>
        <v>-3.4212200043839402E-3</v>
      </c>
      <c r="K111" s="1">
        <f t="shared" si="20"/>
        <v>-3.4212200043839402E-3</v>
      </c>
      <c r="O111" s="1">
        <f t="shared" ca="1" si="16"/>
        <v>-4.1469863769331798E-4</v>
      </c>
      <c r="Q111" s="27">
        <f t="shared" si="17"/>
        <v>42527.984799999998</v>
      </c>
    </row>
    <row r="112" spans="1:17">
      <c r="A112" s="42" t="s">
        <v>80</v>
      </c>
      <c r="B112" s="43" t="s">
        <v>46</v>
      </c>
      <c r="C112" s="44">
        <v>57574.435449999997</v>
      </c>
      <c r="D112" s="44">
        <v>1E-4</v>
      </c>
      <c r="E112" s="26">
        <f t="shared" si="14"/>
        <v>3593.0070813693078</v>
      </c>
      <c r="F112" s="1">
        <f t="shared" si="15"/>
        <v>3593</v>
      </c>
      <c r="G112" s="1">
        <f t="shared" si="18"/>
        <v>7.1946799944271334E-3</v>
      </c>
      <c r="K112" s="1">
        <f t="shared" si="20"/>
        <v>7.1946799944271334E-3</v>
      </c>
      <c r="O112" s="1">
        <f t="shared" ca="1" si="16"/>
        <v>-4.1784458764895148E-4</v>
      </c>
      <c r="Q112" s="27">
        <f t="shared" si="17"/>
        <v>42555.935449999997</v>
      </c>
    </row>
    <row r="113" spans="1:17">
      <c r="A113" s="42" t="s">
        <v>80</v>
      </c>
      <c r="B113" s="43" t="s">
        <v>44</v>
      </c>
      <c r="C113" s="44">
        <v>57605.41375</v>
      </c>
      <c r="D113" s="44">
        <v>2.0000000000000001E-4</v>
      </c>
      <c r="E113" s="26">
        <f t="shared" si="14"/>
        <v>3623.4974969125042</v>
      </c>
      <c r="F113" s="1">
        <f t="shared" si="15"/>
        <v>3623.5</v>
      </c>
      <c r="G113" s="1">
        <f t="shared" si="18"/>
        <v>-2.5431399990338832E-3</v>
      </c>
      <c r="K113" s="1">
        <f t="shared" si="20"/>
        <v>-2.5431399990338832E-3</v>
      </c>
      <c r="O113" s="1">
        <f t="shared" ca="1" si="16"/>
        <v>-4.2133373214519947E-4</v>
      </c>
      <c r="Q113" s="27">
        <f t="shared" si="17"/>
        <v>42586.91375</v>
      </c>
    </row>
    <row r="114" spans="1:17">
      <c r="A114" s="48" t="s">
        <v>82</v>
      </c>
      <c r="B114" s="49" t="s">
        <v>46</v>
      </c>
      <c r="C114" s="50">
        <v>57922.405200000001</v>
      </c>
      <c r="D114" s="50">
        <v>2.7000000000000001E-3</v>
      </c>
      <c r="E114" s="26">
        <f>+(C114-C$7)/C$8</f>
        <v>3935.4965747876468</v>
      </c>
      <c r="F114" s="1">
        <f t="shared" si="15"/>
        <v>3935.5</v>
      </c>
      <c r="G114" s="1">
        <f>+C114-(C$7+F114*C$8)</f>
        <v>-3.4800200010067783E-3</v>
      </c>
      <c r="K114" s="1">
        <f>+G114</f>
        <v>-3.4800200010067783E-3</v>
      </c>
      <c r="O114" s="1">
        <f ca="1">+C$11+C$12*$F114</f>
        <v>-4.5702596436911365E-4</v>
      </c>
      <c r="Q114" s="27">
        <f>+C114-15018.5</f>
        <v>42903.905200000001</v>
      </c>
    </row>
    <row r="115" spans="1:17">
      <c r="A115" s="48" t="s">
        <v>83</v>
      </c>
      <c r="B115" s="51" t="s">
        <v>44</v>
      </c>
      <c r="C115" s="48">
        <v>58322.706100000003</v>
      </c>
      <c r="D115" s="48">
        <v>1E-4</v>
      </c>
      <c r="E115" s="26">
        <f>+(C115-C$7)/C$8</f>
        <v>4329.4930427447152</v>
      </c>
      <c r="F115" s="1">
        <f t="shared" si="15"/>
        <v>4329.5</v>
      </c>
      <c r="G115" s="1">
        <f>+C115-(C$7+F115*C$8)</f>
        <v>-7.0685799946659245E-3</v>
      </c>
      <c r="K115" s="1">
        <f>+G115</f>
        <v>-7.0685799946659245E-3</v>
      </c>
      <c r="O115" s="1">
        <f ca="1">+C$11+C$12*$F115</f>
        <v>-5.0209884736982565E-4</v>
      </c>
      <c r="Q115" s="27">
        <f>+C115-15018.5</f>
        <v>43304.206100000003</v>
      </c>
    </row>
    <row r="116" spans="1:17">
      <c r="A116" s="48" t="s">
        <v>83</v>
      </c>
      <c r="B116" s="51" t="s">
        <v>46</v>
      </c>
      <c r="C116" s="48">
        <v>58357.768100000001</v>
      </c>
      <c r="D116" s="48">
        <v>4.0000000000000002E-4</v>
      </c>
      <c r="E116" s="26">
        <f>+(C116-C$7)/C$8</f>
        <v>4364.0028431461378</v>
      </c>
      <c r="F116" s="1">
        <f t="shared" si="15"/>
        <v>4364</v>
      </c>
      <c r="G116" s="1">
        <f>+C116-(C$7+F116*C$8)</f>
        <v>2.8886400032206438E-3</v>
      </c>
      <c r="K116" s="1">
        <f>+G116</f>
        <v>2.8886400032206438E-3</v>
      </c>
      <c r="O116" s="1">
        <f ca="1">+C$11+C$12*$F116</f>
        <v>-5.060455845868931E-4</v>
      </c>
      <c r="Q116" s="27">
        <f>+C116-15018.5</f>
        <v>43339.268100000001</v>
      </c>
    </row>
    <row r="117" spans="1:17">
      <c r="A117" s="52" t="s">
        <v>84</v>
      </c>
      <c r="B117" s="53" t="s">
        <v>46</v>
      </c>
      <c r="C117" s="54">
        <v>58671.713000000003</v>
      </c>
      <c r="D117" s="54">
        <v>1E-4</v>
      </c>
      <c r="E117" s="26">
        <f>+(C117-C$7)/C$8</f>
        <v>4673.0033518463069</v>
      </c>
      <c r="F117" s="1">
        <f>ROUND(2*E117,0)/2</f>
        <v>4673</v>
      </c>
      <c r="G117" s="1">
        <f>+C117-(C$7+F117*C$8)</f>
        <v>3.405480005312711E-3</v>
      </c>
      <c r="K117" s="1">
        <f>+G117</f>
        <v>3.405480005312711E-3</v>
      </c>
      <c r="O117" s="1">
        <f ca="1">+C$11+C$12*$F117</f>
        <v>-5.4139462227019279E-4</v>
      </c>
      <c r="Q117" s="27">
        <f>+C117-15018.5</f>
        <v>43653.213000000003</v>
      </c>
    </row>
    <row r="118" spans="1:17">
      <c r="A118" s="67" t="s">
        <v>423</v>
      </c>
      <c r="B118" s="68" t="s">
        <v>46</v>
      </c>
      <c r="C118" s="69">
        <v>59382.396500000003</v>
      </c>
      <c r="D118" s="70">
        <v>4.5999999999999999E-3</v>
      </c>
      <c r="E118" s="26">
        <f>+(C118-C$7)/C$8</f>
        <v>5372.4941319953541</v>
      </c>
      <c r="F118" s="1">
        <f>ROUND(2*E118,0)/2</f>
        <v>5372.5</v>
      </c>
      <c r="G118" s="1">
        <f>+C118-(C$7+F118*C$8)</f>
        <v>-5.9618999948725104E-3</v>
      </c>
      <c r="K118" s="1">
        <f>+G118</f>
        <v>-5.9618999948725104E-3</v>
      </c>
      <c r="O118" s="1">
        <f ca="1">+C$11+C$12*$F118</f>
        <v>-6.2141614932348745E-4</v>
      </c>
      <c r="Q118" s="27">
        <f>+C118-15018.5</f>
        <v>44363.896500000003</v>
      </c>
    </row>
    <row r="119" spans="1:17">
      <c r="A119" s="71" t="s">
        <v>424</v>
      </c>
      <c r="B119" s="72" t="s">
        <v>46</v>
      </c>
      <c r="C119" s="73">
        <v>60117.483000000007</v>
      </c>
      <c r="D119" s="71">
        <v>1E-4</v>
      </c>
      <c r="E119" s="26">
        <f>+(C119-C$7)/C$8</f>
        <v>6096.0035836176812</v>
      </c>
      <c r="F119" s="1">
        <f>ROUND(2*E119,0)/2</f>
        <v>6096</v>
      </c>
      <c r="G119" s="1">
        <f>+C119-(C$7+F119*C$8)</f>
        <v>3.6409600070328452E-3</v>
      </c>
      <c r="K119" s="1">
        <f>+G119</f>
        <v>3.6409600070328452E-3</v>
      </c>
      <c r="O119" s="1">
        <f ca="1">+C$11+C$12*$F119</f>
        <v>-7.0418323270169877E-4</v>
      </c>
      <c r="Q119" s="27">
        <f>+C119-15018.5</f>
        <v>45098.983000000007</v>
      </c>
    </row>
    <row r="120" spans="1:17">
      <c r="C120" s="25"/>
      <c r="D120" s="25"/>
    </row>
    <row r="121" spans="1:17">
      <c r="C121" s="25"/>
      <c r="D121" s="25"/>
    </row>
    <row r="122" spans="1:17">
      <c r="C122" s="25"/>
      <c r="D122" s="25"/>
    </row>
    <row r="123" spans="1:17">
      <c r="C123" s="25"/>
      <c r="D123" s="25"/>
    </row>
    <row r="124" spans="1:17">
      <c r="C124" s="25"/>
      <c r="D124" s="25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1"/>
  <sheetViews>
    <sheetView topLeftCell="A52" workbookViewId="0">
      <selection activeCell="A56" sqref="A56"/>
    </sheetView>
  </sheetViews>
  <sheetFormatPr defaultRowHeight="12.75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5" t="s">
        <v>85</v>
      </c>
      <c r="I1" s="56" t="s">
        <v>86</v>
      </c>
      <c r="J1" s="57" t="s">
        <v>35</v>
      </c>
    </row>
    <row r="2" spans="1:16">
      <c r="I2" s="58" t="s">
        <v>87</v>
      </c>
      <c r="J2" s="59" t="s">
        <v>34</v>
      </c>
    </row>
    <row r="3" spans="1:16">
      <c r="A3" s="60" t="s">
        <v>88</v>
      </c>
      <c r="I3" s="58" t="s">
        <v>89</v>
      </c>
      <c r="J3" s="59" t="s">
        <v>32</v>
      </c>
    </row>
    <row r="4" spans="1:16">
      <c r="I4" s="58" t="s">
        <v>90</v>
      </c>
      <c r="J4" s="59" t="s">
        <v>32</v>
      </c>
    </row>
    <row r="5" spans="1:16">
      <c r="I5" s="61" t="s">
        <v>91</v>
      </c>
      <c r="J5" s="62" t="s">
        <v>33</v>
      </c>
    </row>
    <row r="11" spans="1:16" ht="12.75" customHeight="1">
      <c r="A11" s="25" t="str">
        <f t="shared" ref="A11:A42" si="0">P11</f>
        <v>IBVS 937 </v>
      </c>
      <c r="B11" s="15" t="str">
        <f t="shared" ref="B11:B42" si="1">IF(H11=INT(H11),"I","II")</f>
        <v>I</v>
      </c>
      <c r="C11" s="25">
        <f t="shared" ref="C11:C42" si="2">1*G11</f>
        <v>41897.534</v>
      </c>
      <c r="D11" t="str">
        <f t="shared" ref="D11:D42" si="3">VLOOKUP(F11,I$1:J$5,2,FALSE)</f>
        <v>vis</v>
      </c>
      <c r="E11">
        <f>VLOOKUP(C11,Active!C$21:E$972,3,FALSE)</f>
        <v>-11836.995198942866</v>
      </c>
      <c r="F11" s="15" t="s">
        <v>91</v>
      </c>
      <c r="G11" t="str">
        <f t="shared" ref="G11:G42" si="4">MID(I11,3,LEN(I11)-3)</f>
        <v>41897.5340</v>
      </c>
      <c r="H11" s="25">
        <f t="shared" ref="H11:H42" si="5">1*K11</f>
        <v>0</v>
      </c>
      <c r="I11" s="63" t="s">
        <v>92</v>
      </c>
      <c r="J11" s="64" t="s">
        <v>93</v>
      </c>
      <c r="K11" s="63">
        <v>0</v>
      </c>
      <c r="L11" s="63" t="s">
        <v>94</v>
      </c>
      <c r="M11" s="64" t="s">
        <v>95</v>
      </c>
      <c r="N11" s="64" t="s">
        <v>96</v>
      </c>
      <c r="O11" s="65" t="s">
        <v>97</v>
      </c>
      <c r="P11" s="66" t="s">
        <v>98</v>
      </c>
    </row>
    <row r="12" spans="1:16" ht="12.75" customHeight="1">
      <c r="A12" s="25" t="str">
        <f t="shared" si="0"/>
        <v>IBVS 937 </v>
      </c>
      <c r="B12" s="15" t="str">
        <f t="shared" si="1"/>
        <v>I</v>
      </c>
      <c r="C12" s="25">
        <f t="shared" si="2"/>
        <v>41951.383000000002</v>
      </c>
      <c r="D12" t="str">
        <f t="shared" si="3"/>
        <v>vis</v>
      </c>
      <c r="E12">
        <f>VLOOKUP(C12,Active!C$21:E$972,3,FALSE)</f>
        <v>-11783.994279377059</v>
      </c>
      <c r="F12" s="15" t="s">
        <v>91</v>
      </c>
      <c r="G12" t="str">
        <f t="shared" si="4"/>
        <v>41951.3830</v>
      </c>
      <c r="H12" s="25">
        <f t="shared" si="5"/>
        <v>53</v>
      </c>
      <c r="I12" s="63" t="s">
        <v>99</v>
      </c>
      <c r="J12" s="64" t="s">
        <v>100</v>
      </c>
      <c r="K12" s="63">
        <v>53</v>
      </c>
      <c r="L12" s="63" t="s">
        <v>101</v>
      </c>
      <c r="M12" s="64" t="s">
        <v>95</v>
      </c>
      <c r="N12" s="64" t="s">
        <v>96</v>
      </c>
      <c r="O12" s="65" t="s">
        <v>97</v>
      </c>
      <c r="P12" s="66" t="s">
        <v>98</v>
      </c>
    </row>
    <row r="13" spans="1:16" ht="12.75" customHeight="1">
      <c r="A13" s="25" t="str">
        <f t="shared" si="0"/>
        <v>IBVS 1053 </v>
      </c>
      <c r="B13" s="15" t="str">
        <f t="shared" si="1"/>
        <v>II</v>
      </c>
      <c r="C13" s="25">
        <f t="shared" si="2"/>
        <v>42239.41</v>
      </c>
      <c r="D13" t="str">
        <f t="shared" si="3"/>
        <v>vis</v>
      </c>
      <c r="E13">
        <f>VLOOKUP(C13,Active!C$21:E$972,3,FALSE)</f>
        <v>-11500.503483637476</v>
      </c>
      <c r="F13" s="15" t="s">
        <v>91</v>
      </c>
      <c r="G13" t="str">
        <f t="shared" si="4"/>
        <v>42239.410</v>
      </c>
      <c r="H13" s="25">
        <f t="shared" si="5"/>
        <v>336.5</v>
      </c>
      <c r="I13" s="63" t="s">
        <v>102</v>
      </c>
      <c r="J13" s="64" t="s">
        <v>103</v>
      </c>
      <c r="K13" s="63">
        <v>336.5</v>
      </c>
      <c r="L13" s="63" t="s">
        <v>104</v>
      </c>
      <c r="M13" s="64" t="s">
        <v>95</v>
      </c>
      <c r="N13" s="64" t="s">
        <v>96</v>
      </c>
      <c r="O13" s="65" t="s">
        <v>97</v>
      </c>
      <c r="P13" s="66" t="s">
        <v>105</v>
      </c>
    </row>
    <row r="14" spans="1:16" ht="12.75" customHeight="1">
      <c r="A14" s="25" t="str">
        <f t="shared" si="0"/>
        <v> BBS 56 </v>
      </c>
      <c r="B14" s="15" t="str">
        <f t="shared" si="1"/>
        <v>I</v>
      </c>
      <c r="C14" s="25">
        <f t="shared" si="2"/>
        <v>44814.468000000001</v>
      </c>
      <c r="D14" t="str">
        <f t="shared" si="3"/>
        <v>vis</v>
      </c>
      <c r="E14">
        <f>VLOOKUP(C14,Active!C$21:E$972,3,FALSE)</f>
        <v>-8966.0006714165011</v>
      </c>
      <c r="F14" s="15" t="s">
        <v>91</v>
      </c>
      <c r="G14" t="str">
        <f t="shared" si="4"/>
        <v>44814.468</v>
      </c>
      <c r="H14" s="25">
        <f t="shared" si="5"/>
        <v>2871</v>
      </c>
      <c r="I14" s="63" t="s">
        <v>106</v>
      </c>
      <c r="J14" s="64" t="s">
        <v>107</v>
      </c>
      <c r="K14" s="63">
        <v>2871</v>
      </c>
      <c r="L14" s="63" t="s">
        <v>108</v>
      </c>
      <c r="M14" s="64" t="s">
        <v>95</v>
      </c>
      <c r="N14" s="64" t="s">
        <v>96</v>
      </c>
      <c r="O14" s="65" t="s">
        <v>109</v>
      </c>
      <c r="P14" s="65" t="s">
        <v>110</v>
      </c>
    </row>
    <row r="15" spans="1:16" ht="12.75" customHeight="1">
      <c r="A15" s="25" t="str">
        <f t="shared" si="0"/>
        <v> BBS 56 </v>
      </c>
      <c r="B15" s="15" t="str">
        <f t="shared" si="1"/>
        <v>II</v>
      </c>
      <c r="C15" s="25">
        <f t="shared" si="2"/>
        <v>44842.406000000003</v>
      </c>
      <c r="D15" t="str">
        <f t="shared" si="3"/>
        <v>vis</v>
      </c>
      <c r="E15">
        <f>VLOOKUP(C15,Active!C$21:E$972,3,FALSE)</f>
        <v>-8938.5026734809853</v>
      </c>
      <c r="F15" s="15" t="s">
        <v>91</v>
      </c>
      <c r="G15" t="str">
        <f t="shared" si="4"/>
        <v>44842.406</v>
      </c>
      <c r="H15" s="25">
        <f t="shared" si="5"/>
        <v>2898.5</v>
      </c>
      <c r="I15" s="63" t="s">
        <v>111</v>
      </c>
      <c r="J15" s="64" t="s">
        <v>112</v>
      </c>
      <c r="K15" s="63">
        <v>2898.5</v>
      </c>
      <c r="L15" s="63" t="s">
        <v>113</v>
      </c>
      <c r="M15" s="64" t="s">
        <v>95</v>
      </c>
      <c r="N15" s="64" t="s">
        <v>96</v>
      </c>
      <c r="O15" s="65" t="s">
        <v>109</v>
      </c>
      <c r="P15" s="65" t="s">
        <v>110</v>
      </c>
    </row>
    <row r="16" spans="1:16" ht="12.75" customHeight="1">
      <c r="A16" s="25" t="str">
        <f t="shared" si="0"/>
        <v> BBS 73 </v>
      </c>
      <c r="B16" s="15" t="str">
        <f t="shared" si="1"/>
        <v>I</v>
      </c>
      <c r="C16" s="25">
        <f t="shared" si="2"/>
        <v>45892.44</v>
      </c>
      <c r="D16" t="str">
        <f t="shared" si="3"/>
        <v>vis</v>
      </c>
      <c r="E16">
        <f>VLOOKUP(C16,Active!C$21:E$972,3,FALSE)</f>
        <v>-7905.005903339249</v>
      </c>
      <c r="F16" s="15" t="s">
        <v>91</v>
      </c>
      <c r="G16" t="str">
        <f t="shared" si="4"/>
        <v>45892.440</v>
      </c>
      <c r="H16" s="25">
        <f t="shared" si="5"/>
        <v>3932</v>
      </c>
      <c r="I16" s="63" t="s">
        <v>114</v>
      </c>
      <c r="J16" s="64" t="s">
        <v>115</v>
      </c>
      <c r="K16" s="63">
        <v>3932</v>
      </c>
      <c r="L16" s="63" t="s">
        <v>116</v>
      </c>
      <c r="M16" s="64" t="s">
        <v>95</v>
      </c>
      <c r="N16" s="64" t="s">
        <v>96</v>
      </c>
      <c r="O16" s="65" t="s">
        <v>109</v>
      </c>
      <c r="P16" s="65" t="s">
        <v>117</v>
      </c>
    </row>
    <row r="17" spans="1:16" ht="12.75" customHeight="1">
      <c r="A17" s="25" t="str">
        <f t="shared" si="0"/>
        <v> BBS 81 </v>
      </c>
      <c r="B17" s="15" t="str">
        <f t="shared" si="1"/>
        <v>II</v>
      </c>
      <c r="C17" s="25">
        <f t="shared" si="2"/>
        <v>46626.510999999999</v>
      </c>
      <c r="D17" t="str">
        <f t="shared" si="3"/>
        <v>vis</v>
      </c>
      <c r="E17">
        <f>VLOOKUP(C17,Active!C$21:E$972,3,FALSE)</f>
        <v>-7182.4959583710752</v>
      </c>
      <c r="F17" s="15" t="s">
        <v>91</v>
      </c>
      <c r="G17" t="str">
        <f t="shared" si="4"/>
        <v>46626.511</v>
      </c>
      <c r="H17" s="25">
        <f t="shared" si="5"/>
        <v>4654.5</v>
      </c>
      <c r="I17" s="63" t="s">
        <v>118</v>
      </c>
      <c r="J17" s="64" t="s">
        <v>119</v>
      </c>
      <c r="K17" s="63">
        <v>4654.5</v>
      </c>
      <c r="L17" s="63" t="s">
        <v>120</v>
      </c>
      <c r="M17" s="64" t="s">
        <v>121</v>
      </c>
      <c r="N17" s="64"/>
      <c r="O17" s="65" t="s">
        <v>122</v>
      </c>
      <c r="P17" s="65" t="s">
        <v>123</v>
      </c>
    </row>
    <row r="18" spans="1:16" ht="12.75" customHeight="1">
      <c r="A18" s="25" t="str">
        <f t="shared" si="0"/>
        <v> BBS 81 </v>
      </c>
      <c r="B18" s="15" t="str">
        <f t="shared" si="1"/>
        <v>II</v>
      </c>
      <c r="C18" s="25">
        <f t="shared" si="2"/>
        <v>46627.521000000001</v>
      </c>
      <c r="D18" t="str">
        <f t="shared" si="3"/>
        <v>vis</v>
      </c>
      <c r="E18">
        <f>VLOOKUP(C18,Active!C$21:E$972,3,FALSE)</f>
        <v>-7181.5018650961474</v>
      </c>
      <c r="F18" s="15" t="s">
        <v>91</v>
      </c>
      <c r="G18" t="str">
        <f t="shared" si="4"/>
        <v>46627.521</v>
      </c>
      <c r="H18" s="25">
        <f t="shared" si="5"/>
        <v>4655.5</v>
      </c>
      <c r="I18" s="63" t="s">
        <v>124</v>
      </c>
      <c r="J18" s="64" t="s">
        <v>125</v>
      </c>
      <c r="K18" s="63">
        <v>4655.5</v>
      </c>
      <c r="L18" s="63" t="s">
        <v>126</v>
      </c>
      <c r="M18" s="64" t="s">
        <v>121</v>
      </c>
      <c r="N18" s="64"/>
      <c r="O18" s="65" t="s">
        <v>122</v>
      </c>
      <c r="P18" s="65" t="s">
        <v>123</v>
      </c>
    </row>
    <row r="19" spans="1:16" ht="12.75" customHeight="1">
      <c r="A19" s="25" t="str">
        <f t="shared" si="0"/>
        <v> BBS 83 </v>
      </c>
      <c r="B19" s="15" t="str">
        <f t="shared" si="1"/>
        <v>I</v>
      </c>
      <c r="C19" s="25">
        <f t="shared" si="2"/>
        <v>46917.618000000002</v>
      </c>
      <c r="D19" t="str">
        <f t="shared" si="3"/>
        <v>vis</v>
      </c>
      <c r="E19">
        <f>VLOOKUP(C19,Active!C$21:E$972,3,FALSE)</f>
        <v>-6895.9736702683522</v>
      </c>
      <c r="F19" s="15" t="s">
        <v>91</v>
      </c>
      <c r="G19" t="str">
        <f t="shared" si="4"/>
        <v>46917.618</v>
      </c>
      <c r="H19" s="25">
        <f t="shared" si="5"/>
        <v>4941</v>
      </c>
      <c r="I19" s="63" t="s">
        <v>127</v>
      </c>
      <c r="J19" s="64" t="s">
        <v>128</v>
      </c>
      <c r="K19" s="63">
        <v>4941</v>
      </c>
      <c r="L19" s="63" t="s">
        <v>129</v>
      </c>
      <c r="M19" s="64" t="s">
        <v>95</v>
      </c>
      <c r="N19" s="64" t="s">
        <v>96</v>
      </c>
      <c r="O19" s="65" t="s">
        <v>109</v>
      </c>
      <c r="P19" s="65" t="s">
        <v>130</v>
      </c>
    </row>
    <row r="20" spans="1:16" ht="12.75" customHeight="1">
      <c r="A20" s="25" t="str">
        <f t="shared" si="0"/>
        <v>IBVS 4027 </v>
      </c>
      <c r="B20" s="15" t="str">
        <f t="shared" si="1"/>
        <v>I</v>
      </c>
      <c r="C20" s="25">
        <f t="shared" si="2"/>
        <v>47346.341099999998</v>
      </c>
      <c r="D20" t="str">
        <f t="shared" si="3"/>
        <v>vis</v>
      </c>
      <c r="E20">
        <f>VLOOKUP(C20,Active!C$21:E$972,3,FALSE)</f>
        <v>-6474.0026301542712</v>
      </c>
      <c r="F20" s="15" t="s">
        <v>91</v>
      </c>
      <c r="G20" t="str">
        <f t="shared" si="4"/>
        <v>47346.3411</v>
      </c>
      <c r="H20" s="25">
        <f t="shared" si="5"/>
        <v>5363</v>
      </c>
      <c r="I20" s="63" t="s">
        <v>131</v>
      </c>
      <c r="J20" s="64" t="s">
        <v>132</v>
      </c>
      <c r="K20" s="63">
        <v>5363</v>
      </c>
      <c r="L20" s="63" t="s">
        <v>133</v>
      </c>
      <c r="M20" s="64" t="s">
        <v>95</v>
      </c>
      <c r="N20" s="64" t="s">
        <v>96</v>
      </c>
      <c r="O20" s="65" t="s">
        <v>134</v>
      </c>
      <c r="P20" s="66" t="s">
        <v>135</v>
      </c>
    </row>
    <row r="21" spans="1:16" ht="12.75" customHeight="1">
      <c r="A21" s="25" t="str">
        <f t="shared" si="0"/>
        <v>IBVS 4027 </v>
      </c>
      <c r="B21" s="15" t="str">
        <f t="shared" si="1"/>
        <v>I</v>
      </c>
      <c r="C21" s="25">
        <f t="shared" si="2"/>
        <v>47347.357900000003</v>
      </c>
      <c r="D21" t="str">
        <f t="shared" si="3"/>
        <v>vis</v>
      </c>
      <c r="E21">
        <f>VLOOKUP(C21,Active!C$21:E$972,3,FALSE)</f>
        <v>-6473.0018439741243</v>
      </c>
      <c r="F21" s="15" t="s">
        <v>91</v>
      </c>
      <c r="G21" t="str">
        <f t="shared" si="4"/>
        <v>47347.3579</v>
      </c>
      <c r="H21" s="25">
        <f t="shared" si="5"/>
        <v>5364</v>
      </c>
      <c r="I21" s="63" t="s">
        <v>136</v>
      </c>
      <c r="J21" s="64" t="s">
        <v>137</v>
      </c>
      <c r="K21" s="63">
        <v>5364</v>
      </c>
      <c r="L21" s="63" t="s">
        <v>138</v>
      </c>
      <c r="M21" s="64" t="s">
        <v>95</v>
      </c>
      <c r="N21" s="64" t="s">
        <v>96</v>
      </c>
      <c r="O21" s="65" t="s">
        <v>134</v>
      </c>
      <c r="P21" s="66" t="s">
        <v>135</v>
      </c>
    </row>
    <row r="22" spans="1:16" ht="12.75" customHeight="1">
      <c r="A22" s="25" t="str">
        <f t="shared" si="0"/>
        <v>IBVS 4027 </v>
      </c>
      <c r="B22" s="15" t="str">
        <f t="shared" si="1"/>
        <v>I</v>
      </c>
      <c r="C22" s="25">
        <f t="shared" si="2"/>
        <v>47348.373</v>
      </c>
      <c r="D22" t="str">
        <f t="shared" si="3"/>
        <v>vis</v>
      </c>
      <c r="E22">
        <f>VLOOKUP(C22,Active!C$21:E$972,3,FALSE)</f>
        <v>-6472.0027310202886</v>
      </c>
      <c r="F22" s="15" t="s">
        <v>91</v>
      </c>
      <c r="G22" t="str">
        <f t="shared" si="4"/>
        <v>47348.3730</v>
      </c>
      <c r="H22" s="25">
        <f t="shared" si="5"/>
        <v>5365</v>
      </c>
      <c r="I22" s="63" t="s">
        <v>139</v>
      </c>
      <c r="J22" s="64" t="s">
        <v>140</v>
      </c>
      <c r="K22" s="63">
        <v>5365</v>
      </c>
      <c r="L22" s="63" t="s">
        <v>141</v>
      </c>
      <c r="M22" s="64" t="s">
        <v>95</v>
      </c>
      <c r="N22" s="64" t="s">
        <v>96</v>
      </c>
      <c r="O22" s="65" t="s">
        <v>142</v>
      </c>
      <c r="P22" s="66" t="s">
        <v>135</v>
      </c>
    </row>
    <row r="23" spans="1:16" ht="12.75" customHeight="1">
      <c r="A23" s="25" t="str">
        <f t="shared" si="0"/>
        <v>IBVS 4027 </v>
      </c>
      <c r="B23" s="15" t="str">
        <f t="shared" si="1"/>
        <v>I</v>
      </c>
      <c r="C23" s="25">
        <f t="shared" si="2"/>
        <v>47349.390299999999</v>
      </c>
      <c r="D23" t="str">
        <f t="shared" si="3"/>
        <v>vis</v>
      </c>
      <c r="E23">
        <f>VLOOKUP(C23,Active!C$21:E$972,3,FALSE)</f>
        <v>-6471.0014527147623</v>
      </c>
      <c r="F23" s="15" t="s">
        <v>91</v>
      </c>
      <c r="G23" t="str">
        <f t="shared" si="4"/>
        <v>47349.3903</v>
      </c>
      <c r="H23" s="25">
        <f t="shared" si="5"/>
        <v>5366</v>
      </c>
      <c r="I23" s="63" t="s">
        <v>143</v>
      </c>
      <c r="J23" s="64" t="s">
        <v>144</v>
      </c>
      <c r="K23" s="63">
        <v>5366</v>
      </c>
      <c r="L23" s="63" t="s">
        <v>145</v>
      </c>
      <c r="M23" s="64" t="s">
        <v>95</v>
      </c>
      <c r="N23" s="64" t="s">
        <v>96</v>
      </c>
      <c r="O23" s="65" t="s">
        <v>134</v>
      </c>
      <c r="P23" s="66" t="s">
        <v>135</v>
      </c>
    </row>
    <row r="24" spans="1:16" ht="12.75" customHeight="1">
      <c r="A24" s="25" t="str">
        <f t="shared" si="0"/>
        <v>IBVS 4027 </v>
      </c>
      <c r="B24" s="15" t="str">
        <f t="shared" si="1"/>
        <v>I</v>
      </c>
      <c r="C24" s="25">
        <f t="shared" si="2"/>
        <v>47351.4211</v>
      </c>
      <c r="D24" t="str">
        <f t="shared" si="3"/>
        <v>vis</v>
      </c>
      <c r="E24">
        <f>VLOOKUP(C24,Active!C$21:E$972,3,FALSE)</f>
        <v>-6469.002636256625</v>
      </c>
      <c r="F24" s="15" t="s">
        <v>91</v>
      </c>
      <c r="G24" t="str">
        <f t="shared" si="4"/>
        <v>47351.4211</v>
      </c>
      <c r="H24" s="25">
        <f t="shared" si="5"/>
        <v>5368</v>
      </c>
      <c r="I24" s="63" t="s">
        <v>146</v>
      </c>
      <c r="J24" s="64" t="s">
        <v>147</v>
      </c>
      <c r="K24" s="63">
        <v>5368</v>
      </c>
      <c r="L24" s="63" t="s">
        <v>133</v>
      </c>
      <c r="M24" s="64" t="s">
        <v>95</v>
      </c>
      <c r="N24" s="64" t="s">
        <v>96</v>
      </c>
      <c r="O24" s="65" t="s">
        <v>148</v>
      </c>
      <c r="P24" s="66" t="s">
        <v>135</v>
      </c>
    </row>
    <row r="25" spans="1:16" ht="12.75" customHeight="1">
      <c r="A25" s="25" t="str">
        <f t="shared" si="0"/>
        <v>IBVS 4027 </v>
      </c>
      <c r="B25" s="15" t="str">
        <f t="shared" si="1"/>
        <v>II</v>
      </c>
      <c r="C25" s="25">
        <f t="shared" si="2"/>
        <v>47377.3338</v>
      </c>
      <c r="D25" t="str">
        <f t="shared" si="3"/>
        <v>vis</v>
      </c>
      <c r="E25">
        <f>VLOOKUP(C25,Active!C$21:E$972,3,FALSE)</f>
        <v>-6443.4980414000274</v>
      </c>
      <c r="F25" s="15" t="s">
        <v>91</v>
      </c>
      <c r="G25" t="str">
        <f t="shared" si="4"/>
        <v>47377.3338</v>
      </c>
      <c r="H25" s="25">
        <f t="shared" si="5"/>
        <v>5393.5</v>
      </c>
      <c r="I25" s="63" t="s">
        <v>149</v>
      </c>
      <c r="J25" s="64" t="s">
        <v>150</v>
      </c>
      <c r="K25" s="63">
        <v>5393.5</v>
      </c>
      <c r="L25" s="63" t="s">
        <v>151</v>
      </c>
      <c r="M25" s="64" t="s">
        <v>95</v>
      </c>
      <c r="N25" s="64" t="s">
        <v>96</v>
      </c>
      <c r="O25" s="65" t="s">
        <v>152</v>
      </c>
      <c r="P25" s="66" t="s">
        <v>135</v>
      </c>
    </row>
    <row r="26" spans="1:16" ht="12.75" customHeight="1">
      <c r="A26" s="25" t="str">
        <f t="shared" si="0"/>
        <v>IBVS 4027 </v>
      </c>
      <c r="B26" s="15" t="str">
        <f t="shared" si="1"/>
        <v>II</v>
      </c>
      <c r="C26" s="25">
        <f t="shared" si="2"/>
        <v>47382.4136</v>
      </c>
      <c r="D26" t="str">
        <f t="shared" si="3"/>
        <v>vis</v>
      </c>
      <c r="E26">
        <f>VLOOKUP(C26,Active!C$21:E$972,3,FALSE)</f>
        <v>-6438.4982443525359</v>
      </c>
      <c r="F26" s="15" t="s">
        <v>91</v>
      </c>
      <c r="G26" t="str">
        <f t="shared" si="4"/>
        <v>47382.4136</v>
      </c>
      <c r="H26" s="25">
        <f t="shared" si="5"/>
        <v>5398.5</v>
      </c>
      <c r="I26" s="63" t="s">
        <v>153</v>
      </c>
      <c r="J26" s="64" t="s">
        <v>154</v>
      </c>
      <c r="K26" s="63">
        <v>5398.5</v>
      </c>
      <c r="L26" s="63" t="s">
        <v>155</v>
      </c>
      <c r="M26" s="64" t="s">
        <v>95</v>
      </c>
      <c r="N26" s="64" t="s">
        <v>96</v>
      </c>
      <c r="O26" s="65" t="s">
        <v>156</v>
      </c>
      <c r="P26" s="66" t="s">
        <v>135</v>
      </c>
    </row>
    <row r="27" spans="1:16" ht="12.75" customHeight="1">
      <c r="A27" s="25" t="str">
        <f t="shared" si="0"/>
        <v> BBS 89 </v>
      </c>
      <c r="B27" s="15" t="str">
        <f t="shared" si="1"/>
        <v>I</v>
      </c>
      <c r="C27" s="25">
        <f t="shared" si="2"/>
        <v>47412.385000000002</v>
      </c>
      <c r="D27" t="str">
        <f t="shared" si="3"/>
        <v>vis</v>
      </c>
      <c r="E27">
        <f>VLOOKUP(C27,Active!C$21:E$972,3,FALSE)</f>
        <v>-6408.9988709068866</v>
      </c>
      <c r="F27" s="15" t="s">
        <v>91</v>
      </c>
      <c r="G27" t="str">
        <f t="shared" si="4"/>
        <v>47412.385</v>
      </c>
      <c r="H27" s="25">
        <f t="shared" si="5"/>
        <v>5428</v>
      </c>
      <c r="I27" s="63" t="s">
        <v>157</v>
      </c>
      <c r="J27" s="64" t="s">
        <v>158</v>
      </c>
      <c r="K27" s="63">
        <v>5428</v>
      </c>
      <c r="L27" s="63" t="s">
        <v>159</v>
      </c>
      <c r="M27" s="64" t="s">
        <v>121</v>
      </c>
      <c r="N27" s="64"/>
      <c r="O27" s="65" t="s">
        <v>122</v>
      </c>
      <c r="P27" s="65" t="s">
        <v>160</v>
      </c>
    </row>
    <row r="28" spans="1:16" ht="12.75" customHeight="1">
      <c r="A28" s="25" t="str">
        <f t="shared" si="0"/>
        <v>IBVS 4027 </v>
      </c>
      <c r="B28" s="15" t="str">
        <f t="shared" si="1"/>
        <v>I</v>
      </c>
      <c r="C28" s="25">
        <f t="shared" si="2"/>
        <v>47732.422299999998</v>
      </c>
      <c r="D28" t="str">
        <f t="shared" si="3"/>
        <v>vis</v>
      </c>
      <c r="E28">
        <f>VLOOKUP(C28,Active!C$21:E$972,3,FALSE)</f>
        <v>-6094.001912832312</v>
      </c>
      <c r="F28" s="15" t="s">
        <v>91</v>
      </c>
      <c r="G28" t="str">
        <f t="shared" si="4"/>
        <v>47732.4223</v>
      </c>
      <c r="H28" s="25">
        <f t="shared" si="5"/>
        <v>5743</v>
      </c>
      <c r="I28" s="63" t="s">
        <v>161</v>
      </c>
      <c r="J28" s="64" t="s">
        <v>162</v>
      </c>
      <c r="K28" s="63">
        <v>5743</v>
      </c>
      <c r="L28" s="63" t="s">
        <v>163</v>
      </c>
      <c r="M28" s="64" t="s">
        <v>95</v>
      </c>
      <c r="N28" s="64" t="s">
        <v>96</v>
      </c>
      <c r="O28" s="65" t="s">
        <v>134</v>
      </c>
      <c r="P28" s="66" t="s">
        <v>135</v>
      </c>
    </row>
    <row r="29" spans="1:16" ht="12.75" customHeight="1">
      <c r="A29" s="25" t="str">
        <f t="shared" si="0"/>
        <v> BBS 96 </v>
      </c>
      <c r="B29" s="15" t="str">
        <f t="shared" si="1"/>
        <v>I</v>
      </c>
      <c r="C29" s="25">
        <f t="shared" si="2"/>
        <v>48113.421000000002</v>
      </c>
      <c r="D29" t="str">
        <f t="shared" si="3"/>
        <v>vis</v>
      </c>
      <c r="E29">
        <f>VLOOKUP(C29,Active!C$21:E$972,3,FALSE)</f>
        <v>-5719.0036500349124</v>
      </c>
      <c r="F29" s="15" t="s">
        <v>91</v>
      </c>
      <c r="G29" t="str">
        <f t="shared" si="4"/>
        <v>48113.421</v>
      </c>
      <c r="H29" s="25">
        <f t="shared" si="5"/>
        <v>6118</v>
      </c>
      <c r="I29" s="63" t="s">
        <v>164</v>
      </c>
      <c r="J29" s="64" t="s">
        <v>165</v>
      </c>
      <c r="K29" s="63">
        <v>6118</v>
      </c>
      <c r="L29" s="63" t="s">
        <v>166</v>
      </c>
      <c r="M29" s="64" t="s">
        <v>95</v>
      </c>
      <c r="N29" s="64" t="s">
        <v>96</v>
      </c>
      <c r="O29" s="65" t="s">
        <v>122</v>
      </c>
      <c r="P29" s="65" t="s">
        <v>167</v>
      </c>
    </row>
    <row r="30" spans="1:16" ht="12.75" customHeight="1">
      <c r="A30" s="25" t="str">
        <f t="shared" si="0"/>
        <v> BBS 107 </v>
      </c>
      <c r="B30" s="15" t="str">
        <f t="shared" si="1"/>
        <v>I</v>
      </c>
      <c r="C30" s="25">
        <f t="shared" si="2"/>
        <v>49511.451000000001</v>
      </c>
      <c r="D30" t="str">
        <f t="shared" si="3"/>
        <v>vis</v>
      </c>
      <c r="E30">
        <f>VLOOKUP(C30,Active!C$21:E$972,3,FALSE)</f>
        <v>-4342.991549892201</v>
      </c>
      <c r="F30" s="15" t="s">
        <v>91</v>
      </c>
      <c r="G30" t="str">
        <f t="shared" si="4"/>
        <v>49511.4510</v>
      </c>
      <c r="H30" s="25">
        <f t="shared" si="5"/>
        <v>7494</v>
      </c>
      <c r="I30" s="63" t="s">
        <v>168</v>
      </c>
      <c r="J30" s="64" t="s">
        <v>169</v>
      </c>
      <c r="K30" s="63">
        <v>7494</v>
      </c>
      <c r="L30" s="63" t="s">
        <v>170</v>
      </c>
      <c r="M30" s="64" t="s">
        <v>95</v>
      </c>
      <c r="N30" s="64" t="s">
        <v>171</v>
      </c>
      <c r="O30" s="65" t="s">
        <v>109</v>
      </c>
      <c r="P30" s="65" t="s">
        <v>172</v>
      </c>
    </row>
    <row r="31" spans="1:16" ht="12.75" customHeight="1">
      <c r="A31" s="25" t="str">
        <f t="shared" si="0"/>
        <v>BAVM 111 </v>
      </c>
      <c r="B31" s="15" t="str">
        <f t="shared" si="1"/>
        <v>I</v>
      </c>
      <c r="C31" s="25">
        <f t="shared" si="2"/>
        <v>50653.432399999998</v>
      </c>
      <c r="D31" t="str">
        <f t="shared" si="3"/>
        <v>vis</v>
      </c>
      <c r="E31">
        <f>VLOOKUP(C31,Active!C$21:E$972,3,FALSE)</f>
        <v>-3218.9954807535482</v>
      </c>
      <c r="F31" s="15" t="s">
        <v>91</v>
      </c>
      <c r="G31" t="str">
        <f t="shared" si="4"/>
        <v>50653.4324</v>
      </c>
      <c r="H31" s="25">
        <f t="shared" si="5"/>
        <v>8618</v>
      </c>
      <c r="I31" s="63" t="s">
        <v>173</v>
      </c>
      <c r="J31" s="64" t="s">
        <v>174</v>
      </c>
      <c r="K31" s="63">
        <v>8618</v>
      </c>
      <c r="L31" s="63" t="s">
        <v>175</v>
      </c>
      <c r="M31" s="64" t="s">
        <v>95</v>
      </c>
      <c r="N31" s="64" t="s">
        <v>176</v>
      </c>
      <c r="O31" s="65" t="s">
        <v>177</v>
      </c>
      <c r="P31" s="66" t="s">
        <v>178</v>
      </c>
    </row>
    <row r="32" spans="1:16" ht="12.75" customHeight="1">
      <c r="A32" s="25" t="str">
        <f t="shared" si="0"/>
        <v>BAVM 133 </v>
      </c>
      <c r="B32" s="15" t="str">
        <f t="shared" si="1"/>
        <v>I</v>
      </c>
      <c r="C32" s="25">
        <f t="shared" si="2"/>
        <v>51354.471100000002</v>
      </c>
      <c r="D32" t="str">
        <f t="shared" si="3"/>
        <v>vis</v>
      </c>
      <c r="E32">
        <f>VLOOKUP(C32,Active!C$21:E$972,3,FALSE)</f>
        <v>-2528.9976024044977</v>
      </c>
      <c r="F32" s="15" t="s">
        <v>91</v>
      </c>
      <c r="G32" t="str">
        <f t="shared" si="4"/>
        <v>51354.4711</v>
      </c>
      <c r="H32" s="25">
        <f t="shared" si="5"/>
        <v>9308</v>
      </c>
      <c r="I32" s="63" t="s">
        <v>179</v>
      </c>
      <c r="J32" s="64" t="s">
        <v>180</v>
      </c>
      <c r="K32" s="63">
        <v>9308</v>
      </c>
      <c r="L32" s="63" t="s">
        <v>181</v>
      </c>
      <c r="M32" s="64" t="s">
        <v>95</v>
      </c>
      <c r="N32" s="64" t="s">
        <v>182</v>
      </c>
      <c r="O32" s="65" t="s">
        <v>177</v>
      </c>
      <c r="P32" s="66" t="s">
        <v>183</v>
      </c>
    </row>
    <row r="33" spans="1:16" ht="12.75" customHeight="1">
      <c r="A33" s="25" t="str">
        <f t="shared" si="0"/>
        <v> JAAVSO 41;122 </v>
      </c>
      <c r="B33" s="15" t="str">
        <f t="shared" si="1"/>
        <v>I</v>
      </c>
      <c r="C33" s="25">
        <f t="shared" si="2"/>
        <v>52503.565300000002</v>
      </c>
      <c r="D33" t="str">
        <f t="shared" si="3"/>
        <v>vis</v>
      </c>
      <c r="E33">
        <f>VLOOKUP(C33,Active!C$21:E$972,3,FALSE)</f>
        <v>-1398.0007544085254</v>
      </c>
      <c r="F33" s="15" t="s">
        <v>91</v>
      </c>
      <c r="G33" t="str">
        <f t="shared" si="4"/>
        <v>52503.5653</v>
      </c>
      <c r="H33" s="25">
        <f t="shared" si="5"/>
        <v>10439</v>
      </c>
      <c r="I33" s="63" t="s">
        <v>184</v>
      </c>
      <c r="J33" s="64" t="s">
        <v>185</v>
      </c>
      <c r="K33" s="63" t="s">
        <v>186</v>
      </c>
      <c r="L33" s="63" t="s">
        <v>187</v>
      </c>
      <c r="M33" s="64" t="s">
        <v>188</v>
      </c>
      <c r="N33" s="64" t="s">
        <v>121</v>
      </c>
      <c r="O33" s="65" t="s">
        <v>189</v>
      </c>
      <c r="P33" s="65" t="s">
        <v>190</v>
      </c>
    </row>
    <row r="34" spans="1:16" ht="12.75" customHeight="1">
      <c r="A34" s="25" t="str">
        <f t="shared" si="0"/>
        <v>IBVS 5809 </v>
      </c>
      <c r="B34" s="15" t="str">
        <f t="shared" si="1"/>
        <v>I</v>
      </c>
      <c r="C34" s="25">
        <f t="shared" si="2"/>
        <v>53089.794399999999</v>
      </c>
      <c r="D34" t="str">
        <f t="shared" si="3"/>
        <v>vis</v>
      </c>
      <c r="E34">
        <f>VLOOKUP(C34,Active!C$21:E$972,3,FALSE)</f>
        <v>-821.00431294749251</v>
      </c>
      <c r="F34" s="15" t="s">
        <v>91</v>
      </c>
      <c r="G34" t="str">
        <f t="shared" si="4"/>
        <v>53089.7944</v>
      </c>
      <c r="H34" s="25">
        <f t="shared" si="5"/>
        <v>11016</v>
      </c>
      <c r="I34" s="63" t="s">
        <v>191</v>
      </c>
      <c r="J34" s="64" t="s">
        <v>192</v>
      </c>
      <c r="K34" s="63" t="s">
        <v>193</v>
      </c>
      <c r="L34" s="63" t="s">
        <v>194</v>
      </c>
      <c r="M34" s="64" t="s">
        <v>188</v>
      </c>
      <c r="N34" s="64" t="s">
        <v>91</v>
      </c>
      <c r="O34" s="65" t="s">
        <v>195</v>
      </c>
      <c r="P34" s="66" t="s">
        <v>196</v>
      </c>
    </row>
    <row r="35" spans="1:16" ht="12.75" customHeight="1">
      <c r="A35" s="25" t="str">
        <f t="shared" si="0"/>
        <v>IBVS 5809 </v>
      </c>
      <c r="B35" s="15" t="str">
        <f t="shared" si="1"/>
        <v>I</v>
      </c>
      <c r="C35" s="25">
        <f t="shared" si="2"/>
        <v>53091.826699999998</v>
      </c>
      <c r="D35" t="str">
        <f t="shared" si="3"/>
        <v>vis</v>
      </c>
      <c r="E35">
        <f>VLOOKUP(C35,Active!C$21:E$972,3,FALSE)</f>
        <v>-819.00402011320523</v>
      </c>
      <c r="F35" s="15" t="s">
        <v>91</v>
      </c>
      <c r="G35" t="str">
        <f t="shared" si="4"/>
        <v>53091.8267</v>
      </c>
      <c r="H35" s="25">
        <f t="shared" si="5"/>
        <v>11018</v>
      </c>
      <c r="I35" s="63" t="s">
        <v>197</v>
      </c>
      <c r="J35" s="64" t="s">
        <v>198</v>
      </c>
      <c r="K35" s="63" t="s">
        <v>199</v>
      </c>
      <c r="L35" s="63" t="s">
        <v>200</v>
      </c>
      <c r="M35" s="64" t="s">
        <v>188</v>
      </c>
      <c r="N35" s="64" t="s">
        <v>91</v>
      </c>
      <c r="O35" s="65" t="s">
        <v>195</v>
      </c>
      <c r="P35" s="66" t="s">
        <v>196</v>
      </c>
    </row>
    <row r="36" spans="1:16" ht="12.75" customHeight="1">
      <c r="A36" s="25" t="str">
        <f t="shared" si="0"/>
        <v>IBVS 5887 </v>
      </c>
      <c r="B36" s="15" t="str">
        <f t="shared" si="1"/>
        <v>I</v>
      </c>
      <c r="C36" s="25">
        <f t="shared" si="2"/>
        <v>54649.358200000002</v>
      </c>
      <c r="D36" t="str">
        <f t="shared" si="3"/>
        <v>vis</v>
      </c>
      <c r="E36">
        <f>VLOOKUP(C36,Active!C$21:E$972,3,FALSE)</f>
        <v>713.99755378251609</v>
      </c>
      <c r="F36" s="15" t="s">
        <v>91</v>
      </c>
      <c r="G36" t="str">
        <f t="shared" si="4"/>
        <v>54649.3582</v>
      </c>
      <c r="H36" s="25">
        <f t="shared" si="5"/>
        <v>12551</v>
      </c>
      <c r="I36" s="63" t="s">
        <v>201</v>
      </c>
      <c r="J36" s="64" t="s">
        <v>202</v>
      </c>
      <c r="K36" s="63" t="s">
        <v>203</v>
      </c>
      <c r="L36" s="63" t="s">
        <v>204</v>
      </c>
      <c r="M36" s="64" t="s">
        <v>95</v>
      </c>
      <c r="N36" s="64" t="s">
        <v>205</v>
      </c>
      <c r="O36" s="65" t="s">
        <v>206</v>
      </c>
      <c r="P36" s="66" t="s">
        <v>207</v>
      </c>
    </row>
    <row r="37" spans="1:16" ht="12.75" customHeight="1">
      <c r="A37" s="25" t="str">
        <f t="shared" si="0"/>
        <v>IBVS 5931 </v>
      </c>
      <c r="B37" s="15" t="str">
        <f t="shared" si="1"/>
        <v>I</v>
      </c>
      <c r="C37" s="25">
        <f t="shared" si="2"/>
        <v>54742.831400000003</v>
      </c>
      <c r="D37" t="str">
        <f t="shared" si="3"/>
        <v>vis</v>
      </c>
      <c r="E37">
        <f>VLOOKUP(C37,Active!C$21:E$972,3,FALSE)</f>
        <v>805.99862260010968</v>
      </c>
      <c r="F37" s="15" t="s">
        <v>91</v>
      </c>
      <c r="G37" t="str">
        <f t="shared" si="4"/>
        <v>54742.8314</v>
      </c>
      <c r="H37" s="25">
        <f t="shared" si="5"/>
        <v>12643</v>
      </c>
      <c r="I37" s="63" t="s">
        <v>208</v>
      </c>
      <c r="J37" s="64" t="s">
        <v>209</v>
      </c>
      <c r="K37" s="63" t="s">
        <v>210</v>
      </c>
      <c r="L37" s="63" t="s">
        <v>211</v>
      </c>
      <c r="M37" s="64" t="s">
        <v>188</v>
      </c>
      <c r="N37" s="64" t="s">
        <v>91</v>
      </c>
      <c r="O37" s="65" t="s">
        <v>212</v>
      </c>
      <c r="P37" s="66" t="s">
        <v>213</v>
      </c>
    </row>
    <row r="38" spans="1:16" ht="12.75" customHeight="1">
      <c r="A38" s="25" t="str">
        <f t="shared" si="0"/>
        <v>IBVS 5931 </v>
      </c>
      <c r="B38" s="15" t="str">
        <f t="shared" si="1"/>
        <v>II</v>
      </c>
      <c r="C38" s="25">
        <f t="shared" si="2"/>
        <v>54766.713400000001</v>
      </c>
      <c r="D38" t="str">
        <f t="shared" si="3"/>
        <v>vis</v>
      </c>
      <c r="E38">
        <f>VLOOKUP(C38,Active!C$21:E$972,3,FALSE)</f>
        <v>829.50449942364367</v>
      </c>
      <c r="F38" s="15" t="s">
        <v>91</v>
      </c>
      <c r="G38" t="str">
        <f t="shared" si="4"/>
        <v>54766.7134</v>
      </c>
      <c r="H38" s="25">
        <f t="shared" si="5"/>
        <v>12666.5</v>
      </c>
      <c r="I38" s="63" t="s">
        <v>214</v>
      </c>
      <c r="J38" s="64" t="s">
        <v>215</v>
      </c>
      <c r="K38" s="63" t="s">
        <v>216</v>
      </c>
      <c r="L38" s="63" t="s">
        <v>217</v>
      </c>
      <c r="M38" s="64" t="s">
        <v>188</v>
      </c>
      <c r="N38" s="64" t="s">
        <v>91</v>
      </c>
      <c r="O38" s="65" t="s">
        <v>212</v>
      </c>
      <c r="P38" s="66" t="s">
        <v>213</v>
      </c>
    </row>
    <row r="39" spans="1:16" ht="12.75" customHeight="1">
      <c r="A39" s="25" t="str">
        <f t="shared" si="0"/>
        <v>IBVS 5931 </v>
      </c>
      <c r="B39" s="15" t="str">
        <f t="shared" si="1"/>
        <v>II</v>
      </c>
      <c r="C39" s="25">
        <f t="shared" si="2"/>
        <v>54769.764000000003</v>
      </c>
      <c r="D39" t="str">
        <f t="shared" si="3"/>
        <v>vis</v>
      </c>
      <c r="E39">
        <f>VLOOKUP(C39,Active!C$21:E$972,3,FALSE)</f>
        <v>832.5070548142279</v>
      </c>
      <c r="F39" s="15" t="s">
        <v>91</v>
      </c>
      <c r="G39" t="str">
        <f t="shared" si="4"/>
        <v>54769.7640</v>
      </c>
      <c r="H39" s="25">
        <f t="shared" si="5"/>
        <v>12669.5</v>
      </c>
      <c r="I39" s="63" t="s">
        <v>218</v>
      </c>
      <c r="J39" s="64" t="s">
        <v>219</v>
      </c>
      <c r="K39" s="63" t="s">
        <v>220</v>
      </c>
      <c r="L39" s="63" t="s">
        <v>221</v>
      </c>
      <c r="M39" s="64" t="s">
        <v>188</v>
      </c>
      <c r="N39" s="64" t="s">
        <v>91</v>
      </c>
      <c r="O39" s="65" t="s">
        <v>212</v>
      </c>
      <c r="P39" s="66" t="s">
        <v>213</v>
      </c>
    </row>
    <row r="40" spans="1:16" ht="12.75" customHeight="1">
      <c r="A40" s="25" t="str">
        <f t="shared" si="0"/>
        <v>IBVS 5945 </v>
      </c>
      <c r="B40" s="15" t="str">
        <f t="shared" si="1"/>
        <v>II</v>
      </c>
      <c r="C40" s="25">
        <f t="shared" si="2"/>
        <v>55342.785900000003</v>
      </c>
      <c r="D40" t="str">
        <f t="shared" si="3"/>
        <v>vis</v>
      </c>
      <c r="E40">
        <f>VLOOKUP(C40,Active!C$21:E$972,3,FALSE)</f>
        <v>1396.5042995419999</v>
      </c>
      <c r="F40" s="15" t="s">
        <v>91</v>
      </c>
      <c r="G40" t="str">
        <f t="shared" si="4"/>
        <v>55342.7859</v>
      </c>
      <c r="H40" s="25">
        <f t="shared" si="5"/>
        <v>13233.5</v>
      </c>
      <c r="I40" s="63" t="s">
        <v>222</v>
      </c>
      <c r="J40" s="64" t="s">
        <v>223</v>
      </c>
      <c r="K40" s="63" t="s">
        <v>224</v>
      </c>
      <c r="L40" s="63" t="s">
        <v>225</v>
      </c>
      <c r="M40" s="64" t="s">
        <v>188</v>
      </c>
      <c r="N40" s="64" t="s">
        <v>91</v>
      </c>
      <c r="O40" s="65" t="s">
        <v>109</v>
      </c>
      <c r="P40" s="66" t="s">
        <v>226</v>
      </c>
    </row>
    <row r="41" spans="1:16" ht="12.75" customHeight="1">
      <c r="A41" s="25" t="str">
        <f t="shared" si="0"/>
        <v>OEJV 0160 </v>
      </c>
      <c r="B41" s="15" t="str">
        <f t="shared" si="1"/>
        <v>II</v>
      </c>
      <c r="C41" s="25">
        <f t="shared" si="2"/>
        <v>55766.45493</v>
      </c>
      <c r="D41" t="str">
        <f t="shared" si="3"/>
        <v>vis</v>
      </c>
      <c r="E41">
        <f>VLOOKUP(C41,Active!C$21:E$972,3,FALSE)</f>
        <v>1813.5008673808318</v>
      </c>
      <c r="F41" s="15" t="s">
        <v>91</v>
      </c>
      <c r="G41" t="str">
        <f t="shared" si="4"/>
        <v>55766.45493</v>
      </c>
      <c r="H41" s="25">
        <f t="shared" si="5"/>
        <v>13650.5</v>
      </c>
      <c r="I41" s="63" t="s">
        <v>227</v>
      </c>
      <c r="J41" s="64" t="s">
        <v>228</v>
      </c>
      <c r="K41" s="63" t="s">
        <v>229</v>
      </c>
      <c r="L41" s="63" t="s">
        <v>230</v>
      </c>
      <c r="M41" s="64" t="s">
        <v>188</v>
      </c>
      <c r="N41" s="64" t="s">
        <v>86</v>
      </c>
      <c r="O41" s="65" t="s">
        <v>231</v>
      </c>
      <c r="P41" s="66" t="s">
        <v>232</v>
      </c>
    </row>
    <row r="42" spans="1:16" ht="12.75" customHeight="1">
      <c r="A42" s="25" t="str">
        <f t="shared" si="0"/>
        <v>IBVS 6029 </v>
      </c>
      <c r="B42" s="15" t="str">
        <f t="shared" si="1"/>
        <v>I</v>
      </c>
      <c r="C42" s="25">
        <f t="shared" si="2"/>
        <v>56078.873299999999</v>
      </c>
      <c r="D42" t="str">
        <f t="shared" si="3"/>
        <v>CCD</v>
      </c>
      <c r="E42">
        <f>VLOOKUP(C42,Active!C$21:E$972,3,FALSE)</f>
        <v>2120.9988877572628</v>
      </c>
      <c r="F42" s="15" t="str">
        <f>LEFT(M42,1)</f>
        <v>C</v>
      </c>
      <c r="G42" t="str">
        <f t="shared" si="4"/>
        <v>56078.8733</v>
      </c>
      <c r="H42" s="25">
        <f t="shared" si="5"/>
        <v>13958</v>
      </c>
      <c r="I42" s="63" t="s">
        <v>233</v>
      </c>
      <c r="J42" s="64" t="s">
        <v>234</v>
      </c>
      <c r="K42" s="63" t="s">
        <v>235</v>
      </c>
      <c r="L42" s="63" t="s">
        <v>236</v>
      </c>
      <c r="M42" s="64" t="s">
        <v>188</v>
      </c>
      <c r="N42" s="64" t="s">
        <v>91</v>
      </c>
      <c r="O42" s="65" t="s">
        <v>109</v>
      </c>
      <c r="P42" s="66" t="s">
        <v>237</v>
      </c>
    </row>
    <row r="43" spans="1:16" ht="12.75" customHeight="1">
      <c r="A43" s="25" t="str">
        <f t="shared" ref="A43:A74" si="6">P43</f>
        <v>IBVS 6114 </v>
      </c>
      <c r="B43" s="15" t="str">
        <f t="shared" ref="B43:B74" si="7">IF(H43=INT(H43),"I","II")</f>
        <v>II</v>
      </c>
      <c r="C43" s="25">
        <f t="shared" ref="C43:C74" si="8">1*G43</f>
        <v>56471.556080000002</v>
      </c>
      <c r="D43" t="str">
        <f t="shared" ref="D43:D74" si="9">VLOOKUP(F43,I$1:J$5,2,FALSE)</f>
        <v>CCD</v>
      </c>
      <c r="E43">
        <f>VLOOKUP(C43,Active!C$21:E$972,3,FALSE)</f>
        <v>2507.4972152593068</v>
      </c>
      <c r="F43" s="15" t="str">
        <f>LEFT(M43,1)</f>
        <v>C</v>
      </c>
      <c r="G43" t="str">
        <f t="shared" ref="G43:G74" si="10">MID(I43,3,LEN(I43)-3)</f>
        <v>56471.55608</v>
      </c>
      <c r="H43" s="25">
        <f t="shared" ref="H43:H74" si="11">1*K43</f>
        <v>14344.5</v>
      </c>
      <c r="I43" s="63" t="s">
        <v>238</v>
      </c>
      <c r="J43" s="64" t="s">
        <v>239</v>
      </c>
      <c r="K43" s="63" t="s">
        <v>240</v>
      </c>
      <c r="L43" s="63" t="s">
        <v>241</v>
      </c>
      <c r="M43" s="64" t="s">
        <v>188</v>
      </c>
      <c r="N43" s="64" t="s">
        <v>171</v>
      </c>
      <c r="O43" s="65" t="s">
        <v>242</v>
      </c>
      <c r="P43" s="66" t="s">
        <v>243</v>
      </c>
    </row>
    <row r="44" spans="1:16" ht="12.75" customHeight="1">
      <c r="A44" s="25" t="str">
        <f t="shared" si="6"/>
        <v>BAVM 234 </v>
      </c>
      <c r="B44" s="15" t="str">
        <f t="shared" si="7"/>
        <v>I</v>
      </c>
      <c r="C44" s="25">
        <f t="shared" si="8"/>
        <v>56495.433199999999</v>
      </c>
      <c r="D44" t="str">
        <f t="shared" si="9"/>
        <v>CCD</v>
      </c>
      <c r="E44">
        <f>VLOOKUP(C44,Active!C$21:E$972,3,FALSE)</f>
        <v>2530.9982889390963</v>
      </c>
      <c r="F44" s="15" t="str">
        <f>LEFT(M44,1)</f>
        <v>C</v>
      </c>
      <c r="G44" t="str">
        <f t="shared" si="10"/>
        <v>56495.4332</v>
      </c>
      <c r="H44" s="25">
        <f t="shared" si="11"/>
        <v>14368</v>
      </c>
      <c r="I44" s="63" t="s">
        <v>244</v>
      </c>
      <c r="J44" s="64" t="s">
        <v>245</v>
      </c>
      <c r="K44" s="63" t="s">
        <v>246</v>
      </c>
      <c r="L44" s="63" t="s">
        <v>236</v>
      </c>
      <c r="M44" s="64" t="s">
        <v>188</v>
      </c>
      <c r="N44" s="64" t="s">
        <v>182</v>
      </c>
      <c r="O44" s="65" t="s">
        <v>247</v>
      </c>
      <c r="P44" s="66" t="s">
        <v>248</v>
      </c>
    </row>
    <row r="45" spans="1:16" ht="12.75" customHeight="1">
      <c r="A45" s="25" t="str">
        <f t="shared" si="6"/>
        <v>IBVS 6114 </v>
      </c>
      <c r="B45" s="15" t="str">
        <f t="shared" si="7"/>
        <v>I</v>
      </c>
      <c r="C45" s="25">
        <f t="shared" si="8"/>
        <v>56497.465960000001</v>
      </c>
      <c r="D45" t="str">
        <f t="shared" si="9"/>
        <v>CCD</v>
      </c>
      <c r="E45">
        <f>VLOOKUP(C45,Active!C$21:E$972,3,FALSE)</f>
        <v>2532.9990345287392</v>
      </c>
      <c r="F45" s="15" t="str">
        <f>LEFT(M45,1)</f>
        <v>C</v>
      </c>
      <c r="G45" t="str">
        <f t="shared" si="10"/>
        <v>56497.46596</v>
      </c>
      <c r="H45" s="25">
        <f t="shared" si="11"/>
        <v>14370</v>
      </c>
      <c r="I45" s="63" t="s">
        <v>249</v>
      </c>
      <c r="J45" s="64" t="s">
        <v>250</v>
      </c>
      <c r="K45" s="63" t="s">
        <v>251</v>
      </c>
      <c r="L45" s="63" t="s">
        <v>252</v>
      </c>
      <c r="M45" s="64" t="s">
        <v>188</v>
      </c>
      <c r="N45" s="64" t="s">
        <v>171</v>
      </c>
      <c r="O45" s="65" t="s">
        <v>242</v>
      </c>
      <c r="P45" s="66" t="s">
        <v>243</v>
      </c>
    </row>
    <row r="46" spans="1:16" ht="12.75" customHeight="1">
      <c r="A46" s="25" t="str">
        <f t="shared" si="6"/>
        <v>OEJV 0160 </v>
      </c>
      <c r="B46" s="15" t="str">
        <f t="shared" si="7"/>
        <v>I</v>
      </c>
      <c r="C46" s="25">
        <f t="shared" si="8"/>
        <v>56497.46617</v>
      </c>
      <c r="D46" t="str">
        <f t="shared" si="9"/>
        <v>CCD</v>
      </c>
      <c r="E46">
        <f>VLOOKUP(C46,Active!C$21:E$972,3,FALSE)</f>
        <v>2532.9992412213987</v>
      </c>
      <c r="F46" s="15" t="str">
        <f>LEFT(M46,1)</f>
        <v>C</v>
      </c>
      <c r="G46" t="str">
        <f t="shared" si="10"/>
        <v>56497.46617</v>
      </c>
      <c r="H46" s="25">
        <f t="shared" si="11"/>
        <v>14370</v>
      </c>
      <c r="I46" s="63" t="s">
        <v>253</v>
      </c>
      <c r="J46" s="64" t="s">
        <v>254</v>
      </c>
      <c r="K46" s="63" t="s">
        <v>251</v>
      </c>
      <c r="L46" s="63" t="s">
        <v>255</v>
      </c>
      <c r="M46" s="64" t="s">
        <v>188</v>
      </c>
      <c r="N46" s="64" t="s">
        <v>86</v>
      </c>
      <c r="O46" s="65" t="s">
        <v>256</v>
      </c>
      <c r="P46" s="66" t="s">
        <v>232</v>
      </c>
    </row>
    <row r="47" spans="1:16" ht="12.75" customHeight="1">
      <c r="A47" s="25" t="str">
        <f t="shared" si="6"/>
        <v>BAVM 234 </v>
      </c>
      <c r="B47" s="15" t="str">
        <f t="shared" si="7"/>
        <v>II</v>
      </c>
      <c r="C47" s="25">
        <f t="shared" si="8"/>
        <v>56527.435599999997</v>
      </c>
      <c r="D47" t="str">
        <f t="shared" si="9"/>
        <v>vis</v>
      </c>
      <c r="E47">
        <f>VLOOKUP(C47,Active!C$21:E$972,3,FALSE)</f>
        <v>2562.4966756930312</v>
      </c>
      <c r="F47" s="15" t="s">
        <v>91</v>
      </c>
      <c r="G47" t="str">
        <f t="shared" si="10"/>
        <v>56527.4356</v>
      </c>
      <c r="H47" s="25">
        <f t="shared" si="11"/>
        <v>14399.5</v>
      </c>
      <c r="I47" s="63" t="s">
        <v>257</v>
      </c>
      <c r="J47" s="64" t="s">
        <v>258</v>
      </c>
      <c r="K47" s="63" t="s">
        <v>259</v>
      </c>
      <c r="L47" s="63" t="s">
        <v>260</v>
      </c>
      <c r="M47" s="64" t="s">
        <v>188</v>
      </c>
      <c r="N47" s="64" t="s">
        <v>182</v>
      </c>
      <c r="O47" s="65" t="s">
        <v>247</v>
      </c>
      <c r="P47" s="66" t="s">
        <v>248</v>
      </c>
    </row>
    <row r="48" spans="1:16" ht="12.75" customHeight="1">
      <c r="A48" s="25" t="str">
        <f t="shared" si="6"/>
        <v>IBVS 6114 </v>
      </c>
      <c r="B48" s="15" t="str">
        <f t="shared" si="7"/>
        <v>II</v>
      </c>
      <c r="C48" s="25">
        <f t="shared" si="8"/>
        <v>56582.299630000001</v>
      </c>
      <c r="D48" t="str">
        <f t="shared" si="9"/>
        <v>vis</v>
      </c>
      <c r="E48">
        <f>VLOOKUP(C48,Active!C$21:E$972,3,FALSE)</f>
        <v>2616.4966393151271</v>
      </c>
      <c r="F48" s="15" t="s">
        <v>91</v>
      </c>
      <c r="G48" t="str">
        <f t="shared" si="10"/>
        <v>56582.29963</v>
      </c>
      <c r="H48" s="25">
        <f t="shared" si="11"/>
        <v>14453.5</v>
      </c>
      <c r="I48" s="63" t="s">
        <v>261</v>
      </c>
      <c r="J48" s="64" t="s">
        <v>262</v>
      </c>
      <c r="K48" s="63" t="s">
        <v>263</v>
      </c>
      <c r="L48" s="63" t="s">
        <v>264</v>
      </c>
      <c r="M48" s="64" t="s">
        <v>188</v>
      </c>
      <c r="N48" s="64" t="s">
        <v>171</v>
      </c>
      <c r="O48" s="65" t="s">
        <v>242</v>
      </c>
      <c r="P48" s="66" t="s">
        <v>243</v>
      </c>
    </row>
    <row r="49" spans="1:16" ht="12.75" customHeight="1">
      <c r="A49" s="25" t="str">
        <f t="shared" si="6"/>
        <v>IBVS 6114 </v>
      </c>
      <c r="B49" s="15" t="str">
        <f t="shared" si="7"/>
        <v>II</v>
      </c>
      <c r="C49" s="25">
        <f t="shared" si="8"/>
        <v>56728.603459999998</v>
      </c>
      <c r="D49" t="str">
        <f t="shared" si="9"/>
        <v>vis</v>
      </c>
      <c r="E49">
        <f>VLOOKUP(C49,Active!C$21:E$972,3,FALSE)</f>
        <v>2760.4962962446771</v>
      </c>
      <c r="F49" s="15" t="s">
        <v>91</v>
      </c>
      <c r="G49" t="str">
        <f t="shared" si="10"/>
        <v>56728.60346</v>
      </c>
      <c r="H49" s="25">
        <f t="shared" si="11"/>
        <v>14597.5</v>
      </c>
      <c r="I49" s="63" t="s">
        <v>265</v>
      </c>
      <c r="J49" s="64" t="s">
        <v>266</v>
      </c>
      <c r="K49" s="63" t="s">
        <v>267</v>
      </c>
      <c r="L49" s="63" t="s">
        <v>268</v>
      </c>
      <c r="M49" s="64" t="s">
        <v>188</v>
      </c>
      <c r="N49" s="64" t="s">
        <v>269</v>
      </c>
      <c r="O49" s="65" t="s">
        <v>270</v>
      </c>
      <c r="P49" s="66" t="s">
        <v>243</v>
      </c>
    </row>
    <row r="50" spans="1:16" ht="12.75" customHeight="1">
      <c r="A50" s="25" t="str">
        <f t="shared" si="6"/>
        <v>IBVS 6114 </v>
      </c>
      <c r="B50" s="15" t="str">
        <f t="shared" si="7"/>
        <v>I</v>
      </c>
      <c r="C50" s="25">
        <f t="shared" si="8"/>
        <v>56814.459860000003</v>
      </c>
      <c r="D50" t="str">
        <f t="shared" si="9"/>
        <v>vis</v>
      </c>
      <c r="E50">
        <f>VLOOKUP(C50,Active!C$21:E$972,3,FALSE)</f>
        <v>2845.0005238182616</v>
      </c>
      <c r="F50" s="15" t="s">
        <v>91</v>
      </c>
      <c r="G50" t="str">
        <f t="shared" si="10"/>
        <v>56814.45986</v>
      </c>
      <c r="H50" s="25">
        <f t="shared" si="11"/>
        <v>14682</v>
      </c>
      <c r="I50" s="63" t="s">
        <v>271</v>
      </c>
      <c r="J50" s="64" t="s">
        <v>272</v>
      </c>
      <c r="K50" s="63" t="s">
        <v>273</v>
      </c>
      <c r="L50" s="63" t="s">
        <v>274</v>
      </c>
      <c r="M50" s="64" t="s">
        <v>188</v>
      </c>
      <c r="N50" s="64" t="s">
        <v>269</v>
      </c>
      <c r="O50" s="65" t="s">
        <v>270</v>
      </c>
      <c r="P50" s="66" t="s">
        <v>243</v>
      </c>
    </row>
    <row r="51" spans="1:16" ht="12.75" customHeight="1">
      <c r="A51" s="25" t="str">
        <f t="shared" si="6"/>
        <v>BAVM 238 </v>
      </c>
      <c r="B51" s="15" t="str">
        <f t="shared" si="7"/>
        <v>I</v>
      </c>
      <c r="C51" s="25">
        <f t="shared" si="8"/>
        <v>56815.476300000002</v>
      </c>
      <c r="D51" t="str">
        <f t="shared" si="9"/>
        <v>vis</v>
      </c>
      <c r="E51">
        <f>VLOOKUP(C51,Active!C$21:E$972,3,FALSE)</f>
        <v>2846.0009556681275</v>
      </c>
      <c r="F51" s="15" t="s">
        <v>91</v>
      </c>
      <c r="G51" t="str">
        <f t="shared" si="10"/>
        <v>56815.4763</v>
      </c>
      <c r="H51" s="25">
        <f t="shared" si="11"/>
        <v>14683</v>
      </c>
      <c r="I51" s="63" t="s">
        <v>275</v>
      </c>
      <c r="J51" s="64" t="s">
        <v>276</v>
      </c>
      <c r="K51" s="63" t="s">
        <v>277</v>
      </c>
      <c r="L51" s="63" t="s">
        <v>278</v>
      </c>
      <c r="M51" s="64" t="s">
        <v>188</v>
      </c>
      <c r="N51" s="64" t="s">
        <v>182</v>
      </c>
      <c r="O51" s="65" t="s">
        <v>247</v>
      </c>
      <c r="P51" s="66" t="s">
        <v>279</v>
      </c>
    </row>
    <row r="52" spans="1:16" ht="12.75" customHeight="1">
      <c r="A52" s="25" t="str">
        <f t="shared" si="6"/>
        <v>IBVS 6114 </v>
      </c>
      <c r="B52" s="15" t="str">
        <f t="shared" si="7"/>
        <v>II</v>
      </c>
      <c r="C52" s="25">
        <f t="shared" si="8"/>
        <v>56842.39531</v>
      </c>
      <c r="D52" t="str">
        <f t="shared" si="9"/>
        <v>vis</v>
      </c>
      <c r="E52">
        <f>VLOOKUP(C52,Active!C$21:E$972,3,FALSE)</f>
        <v>2872.4960119143166</v>
      </c>
      <c r="F52" s="15" t="s">
        <v>91</v>
      </c>
      <c r="G52" t="str">
        <f t="shared" si="10"/>
        <v>56842.39531</v>
      </c>
      <c r="H52" s="25">
        <f t="shared" si="11"/>
        <v>14709.5</v>
      </c>
      <c r="I52" s="63" t="s">
        <v>280</v>
      </c>
      <c r="J52" s="64" t="s">
        <v>281</v>
      </c>
      <c r="K52" s="63" t="s">
        <v>282</v>
      </c>
      <c r="L52" s="63" t="s">
        <v>283</v>
      </c>
      <c r="M52" s="64" t="s">
        <v>188</v>
      </c>
      <c r="N52" s="64" t="s">
        <v>269</v>
      </c>
      <c r="O52" s="65" t="s">
        <v>270</v>
      </c>
      <c r="P52" s="66" t="s">
        <v>243</v>
      </c>
    </row>
    <row r="53" spans="1:16" ht="12.75" customHeight="1">
      <c r="A53" s="25" t="str">
        <f t="shared" si="6"/>
        <v>IBVS 6114 </v>
      </c>
      <c r="B53" s="15" t="str">
        <f t="shared" si="7"/>
        <v>I</v>
      </c>
      <c r="C53" s="25">
        <f t="shared" si="8"/>
        <v>56876.436580000001</v>
      </c>
      <c r="D53" t="str">
        <f t="shared" si="9"/>
        <v>vis</v>
      </c>
      <c r="E53">
        <f>VLOOKUP(C53,Active!C$21:E$972,3,FALSE)</f>
        <v>2906.0011580300848</v>
      </c>
      <c r="F53" s="15" t="s">
        <v>91</v>
      </c>
      <c r="G53" t="str">
        <f t="shared" si="10"/>
        <v>56876.43658</v>
      </c>
      <c r="H53" s="25">
        <f t="shared" si="11"/>
        <v>14743</v>
      </c>
      <c r="I53" s="63" t="s">
        <v>284</v>
      </c>
      <c r="J53" s="64" t="s">
        <v>285</v>
      </c>
      <c r="K53" s="63" t="s">
        <v>286</v>
      </c>
      <c r="L53" s="63" t="s">
        <v>287</v>
      </c>
      <c r="M53" s="64" t="s">
        <v>188</v>
      </c>
      <c r="N53" s="64" t="s">
        <v>86</v>
      </c>
      <c r="O53" s="65" t="s">
        <v>288</v>
      </c>
      <c r="P53" s="66" t="s">
        <v>243</v>
      </c>
    </row>
    <row r="54" spans="1:16" ht="12.75" customHeight="1">
      <c r="A54" s="25" t="str">
        <f t="shared" si="6"/>
        <v>IBVS 6114 </v>
      </c>
      <c r="B54" s="15" t="str">
        <f t="shared" si="7"/>
        <v>I</v>
      </c>
      <c r="C54" s="25">
        <f t="shared" si="8"/>
        <v>56878.46847</v>
      </c>
      <c r="D54" t="str">
        <f t="shared" si="9"/>
        <v>vis</v>
      </c>
      <c r="E54">
        <f>VLOOKUP(C54,Active!C$21:E$972,3,FALSE)</f>
        <v>2908.0010473215571</v>
      </c>
      <c r="F54" s="15" t="s">
        <v>91</v>
      </c>
      <c r="G54" t="str">
        <f t="shared" si="10"/>
        <v>56878.46847</v>
      </c>
      <c r="H54" s="25">
        <f t="shared" si="11"/>
        <v>14745</v>
      </c>
      <c r="I54" s="63" t="s">
        <v>289</v>
      </c>
      <c r="J54" s="64" t="s">
        <v>290</v>
      </c>
      <c r="K54" s="63" t="s">
        <v>291</v>
      </c>
      <c r="L54" s="63" t="s">
        <v>292</v>
      </c>
      <c r="M54" s="64" t="s">
        <v>188</v>
      </c>
      <c r="N54" s="64" t="s">
        <v>269</v>
      </c>
      <c r="O54" s="65" t="s">
        <v>242</v>
      </c>
      <c r="P54" s="66" t="s">
        <v>243</v>
      </c>
    </row>
    <row r="55" spans="1:16" ht="12.75" customHeight="1">
      <c r="A55" s="25" t="str">
        <f t="shared" si="6"/>
        <v>BAVM 241 (=IBVS 6157) </v>
      </c>
      <c r="B55" s="15" t="str">
        <f t="shared" si="7"/>
        <v>I</v>
      </c>
      <c r="C55" s="25">
        <f t="shared" si="8"/>
        <v>57198.511299999998</v>
      </c>
      <c r="D55" t="str">
        <f t="shared" si="9"/>
        <v>vis</v>
      </c>
      <c r="E55">
        <f>VLOOKUP(C55,Active!C$21:E$972,3,FALSE)</f>
        <v>3223.0034483028771</v>
      </c>
      <c r="F55" s="15" t="s">
        <v>91</v>
      </c>
      <c r="G55" t="str">
        <f t="shared" si="10"/>
        <v>57198.5113</v>
      </c>
      <c r="H55" s="25">
        <f t="shared" si="11"/>
        <v>15060</v>
      </c>
      <c r="I55" s="63" t="s">
        <v>293</v>
      </c>
      <c r="J55" s="64" t="s">
        <v>294</v>
      </c>
      <c r="K55" s="63" t="s">
        <v>295</v>
      </c>
      <c r="L55" s="63" t="s">
        <v>296</v>
      </c>
      <c r="M55" s="64" t="s">
        <v>188</v>
      </c>
      <c r="N55" s="64" t="s">
        <v>182</v>
      </c>
      <c r="O55" s="65" t="s">
        <v>247</v>
      </c>
      <c r="P55" s="66" t="s">
        <v>297</v>
      </c>
    </row>
    <row r="56" spans="1:16" ht="12.75" customHeight="1">
      <c r="A56" s="25" t="str">
        <f t="shared" si="6"/>
        <v> HB 912.22 </v>
      </c>
      <c r="B56" s="15" t="str">
        <f t="shared" si="7"/>
        <v>II</v>
      </c>
      <c r="C56" s="25">
        <f t="shared" si="8"/>
        <v>28422.297999999999</v>
      </c>
      <c r="D56" t="str">
        <f t="shared" si="9"/>
        <v>vis</v>
      </c>
      <c r="E56">
        <f>VLOOKUP(C56,Active!C$21:E$972,3,FALSE)</f>
        <v>-25100.006570858121</v>
      </c>
      <c r="F56" s="15" t="s">
        <v>91</v>
      </c>
      <c r="G56" t="str">
        <f t="shared" si="10"/>
        <v>28422.298</v>
      </c>
      <c r="H56" s="25">
        <f t="shared" si="11"/>
        <v>-13243.5</v>
      </c>
      <c r="I56" s="63" t="s">
        <v>298</v>
      </c>
      <c r="J56" s="64" t="s">
        <v>299</v>
      </c>
      <c r="K56" s="63">
        <v>-13243.5</v>
      </c>
      <c r="L56" s="63" t="s">
        <v>300</v>
      </c>
      <c r="M56" s="64" t="s">
        <v>301</v>
      </c>
      <c r="N56" s="64"/>
      <c r="O56" s="65" t="s">
        <v>302</v>
      </c>
      <c r="P56" s="65" t="s">
        <v>43</v>
      </c>
    </row>
    <row r="57" spans="1:16" ht="12.75" customHeight="1">
      <c r="A57" s="25" t="str">
        <f t="shared" si="6"/>
        <v> WLVO 15.35 </v>
      </c>
      <c r="B57" s="15" t="str">
        <f t="shared" si="7"/>
        <v>I</v>
      </c>
      <c r="C57" s="25">
        <f t="shared" si="8"/>
        <v>29736.52</v>
      </c>
      <c r="D57" t="str">
        <f t="shared" si="9"/>
        <v>vis</v>
      </c>
      <c r="E57">
        <f>VLOOKUP(C57,Active!C$21:E$972,3,FALSE)</f>
        <v>-23806.482559017346</v>
      </c>
      <c r="F57" s="15" t="s">
        <v>91</v>
      </c>
      <c r="G57" t="str">
        <f t="shared" si="10"/>
        <v>29736.520</v>
      </c>
      <c r="H57" s="25">
        <f t="shared" si="11"/>
        <v>-11950</v>
      </c>
      <c r="I57" s="63" t="s">
        <v>303</v>
      </c>
      <c r="J57" s="64" t="s">
        <v>304</v>
      </c>
      <c r="K57" s="63">
        <v>-11950</v>
      </c>
      <c r="L57" s="63" t="s">
        <v>305</v>
      </c>
      <c r="M57" s="64" t="s">
        <v>306</v>
      </c>
      <c r="N57" s="64"/>
      <c r="O57" s="65" t="s">
        <v>307</v>
      </c>
      <c r="P57" s="65" t="s">
        <v>45</v>
      </c>
    </row>
    <row r="58" spans="1:16" ht="12.75" customHeight="1">
      <c r="A58" s="25" t="str">
        <f t="shared" si="6"/>
        <v> WLVO 15.35 </v>
      </c>
      <c r="B58" s="15" t="str">
        <f t="shared" si="7"/>
        <v>I</v>
      </c>
      <c r="C58" s="25">
        <f t="shared" si="8"/>
        <v>29738.546999999999</v>
      </c>
      <c r="D58" t="str">
        <f t="shared" si="9"/>
        <v>vis</v>
      </c>
      <c r="E58">
        <f>VLOOKUP(C58,Active!C$21:E$972,3,FALSE)</f>
        <v>-23804.487482712128</v>
      </c>
      <c r="F58" s="15" t="s">
        <v>91</v>
      </c>
      <c r="G58" t="str">
        <f t="shared" si="10"/>
        <v>29738.547</v>
      </c>
      <c r="H58" s="25">
        <f t="shared" si="11"/>
        <v>-11948</v>
      </c>
      <c r="I58" s="63" t="s">
        <v>308</v>
      </c>
      <c r="J58" s="64" t="s">
        <v>309</v>
      </c>
      <c r="K58" s="63">
        <v>-11948</v>
      </c>
      <c r="L58" s="63" t="s">
        <v>310</v>
      </c>
      <c r="M58" s="64" t="s">
        <v>306</v>
      </c>
      <c r="N58" s="64"/>
      <c r="O58" s="65" t="s">
        <v>307</v>
      </c>
      <c r="P58" s="65" t="s">
        <v>45</v>
      </c>
    </row>
    <row r="59" spans="1:16" ht="12.75" customHeight="1">
      <c r="A59" s="25" t="str">
        <f t="shared" si="6"/>
        <v> WLVO 15.35 </v>
      </c>
      <c r="B59" s="15" t="str">
        <f t="shared" si="7"/>
        <v>I</v>
      </c>
      <c r="C59" s="25">
        <f t="shared" si="8"/>
        <v>29789.368999999999</v>
      </c>
      <c r="D59" t="str">
        <f t="shared" si="9"/>
        <v>vis</v>
      </c>
      <c r="E59">
        <f>VLOOKUP(C59,Active!C$21:E$972,3,FALSE)</f>
        <v>-23754.465890218795</v>
      </c>
      <c r="F59" s="15" t="s">
        <v>91</v>
      </c>
      <c r="G59" t="str">
        <f t="shared" si="10"/>
        <v>29789.369</v>
      </c>
      <c r="H59" s="25">
        <f t="shared" si="11"/>
        <v>-11898</v>
      </c>
      <c r="I59" s="63" t="s">
        <v>311</v>
      </c>
      <c r="J59" s="64" t="s">
        <v>312</v>
      </c>
      <c r="K59" s="63">
        <v>-11898</v>
      </c>
      <c r="L59" s="63" t="s">
        <v>313</v>
      </c>
      <c r="M59" s="64" t="s">
        <v>306</v>
      </c>
      <c r="N59" s="64"/>
      <c r="O59" s="65" t="s">
        <v>307</v>
      </c>
      <c r="P59" s="65" t="s">
        <v>45</v>
      </c>
    </row>
    <row r="60" spans="1:16" ht="12.75" customHeight="1">
      <c r="A60" s="25" t="str">
        <f t="shared" si="6"/>
        <v> WLVO 15.35 </v>
      </c>
      <c r="B60" s="15" t="str">
        <f t="shared" si="7"/>
        <v>I</v>
      </c>
      <c r="C60" s="25">
        <f t="shared" si="8"/>
        <v>29790.37</v>
      </c>
      <c r="D60" t="str">
        <f t="shared" si="9"/>
        <v>vis</v>
      </c>
      <c r="E60">
        <f>VLOOKUP(C60,Active!C$21:E$972,3,FALSE)</f>
        <v>-23753.480655200776</v>
      </c>
      <c r="F60" s="15" t="s">
        <v>91</v>
      </c>
      <c r="G60" t="str">
        <f t="shared" si="10"/>
        <v>29790.370</v>
      </c>
      <c r="H60" s="25">
        <f t="shared" si="11"/>
        <v>-11897</v>
      </c>
      <c r="I60" s="63" t="s">
        <v>314</v>
      </c>
      <c r="J60" s="64" t="s">
        <v>315</v>
      </c>
      <c r="K60" s="63">
        <v>-11897</v>
      </c>
      <c r="L60" s="63" t="s">
        <v>316</v>
      </c>
      <c r="M60" s="64" t="s">
        <v>306</v>
      </c>
      <c r="N60" s="64"/>
      <c r="O60" s="65" t="s">
        <v>307</v>
      </c>
      <c r="P60" s="65" t="s">
        <v>45</v>
      </c>
    </row>
    <row r="61" spans="1:16" ht="12.75" customHeight="1">
      <c r="A61" s="25" t="str">
        <f t="shared" si="6"/>
        <v> WLVO 15.35 </v>
      </c>
      <c r="B61" s="15" t="str">
        <f t="shared" si="7"/>
        <v>I</v>
      </c>
      <c r="C61" s="25">
        <f t="shared" si="8"/>
        <v>29852.371999999999</v>
      </c>
      <c r="D61" t="str">
        <f t="shared" si="9"/>
        <v>vis</v>
      </c>
      <c r="E61">
        <f>VLOOKUP(C61,Active!C$21:E$972,3,FALSE)</f>
        <v>-23692.455139129554</v>
      </c>
      <c r="F61" s="15" t="s">
        <v>91</v>
      </c>
      <c r="G61" t="str">
        <f t="shared" si="10"/>
        <v>29852.372</v>
      </c>
      <c r="H61" s="25">
        <f t="shared" si="11"/>
        <v>-11836</v>
      </c>
      <c r="I61" s="63" t="s">
        <v>317</v>
      </c>
      <c r="J61" s="64" t="s">
        <v>318</v>
      </c>
      <c r="K61" s="63">
        <v>-11836</v>
      </c>
      <c r="L61" s="63" t="s">
        <v>319</v>
      </c>
      <c r="M61" s="64" t="s">
        <v>306</v>
      </c>
      <c r="N61" s="64"/>
      <c r="O61" s="65" t="s">
        <v>307</v>
      </c>
      <c r="P61" s="65" t="s">
        <v>45</v>
      </c>
    </row>
    <row r="62" spans="1:16" ht="12.75" customHeight="1">
      <c r="A62" s="25" t="str">
        <f t="shared" si="6"/>
        <v> WLVO 15.35 </v>
      </c>
      <c r="B62" s="15" t="str">
        <f t="shared" si="7"/>
        <v>II</v>
      </c>
      <c r="C62" s="25">
        <f t="shared" si="8"/>
        <v>29881.304</v>
      </c>
      <c r="D62" t="str">
        <f t="shared" si="9"/>
        <v>vis</v>
      </c>
      <c r="E62">
        <f>VLOOKUP(C62,Active!C$21:E$972,3,FALSE)</f>
        <v>-23663.978795931391</v>
      </c>
      <c r="F62" s="15" t="s">
        <v>91</v>
      </c>
      <c r="G62" t="str">
        <f t="shared" si="10"/>
        <v>29881.304</v>
      </c>
      <c r="H62" s="25">
        <f t="shared" si="11"/>
        <v>-11807.5</v>
      </c>
      <c r="I62" s="63" t="s">
        <v>320</v>
      </c>
      <c r="J62" s="64" t="s">
        <v>321</v>
      </c>
      <c r="K62" s="63">
        <v>-11807.5</v>
      </c>
      <c r="L62" s="63" t="s">
        <v>322</v>
      </c>
      <c r="M62" s="64" t="s">
        <v>306</v>
      </c>
      <c r="N62" s="64"/>
      <c r="O62" s="65" t="s">
        <v>307</v>
      </c>
      <c r="P62" s="65" t="s">
        <v>45</v>
      </c>
    </row>
    <row r="63" spans="1:16" ht="12.75" customHeight="1">
      <c r="A63" s="25" t="str">
        <f t="shared" si="6"/>
        <v> WLVO 15.35 </v>
      </c>
      <c r="B63" s="15" t="str">
        <f t="shared" si="7"/>
        <v>II</v>
      </c>
      <c r="C63" s="25">
        <f t="shared" si="8"/>
        <v>30143.428</v>
      </c>
      <c r="D63" t="str">
        <f t="shared" si="9"/>
        <v>vis</v>
      </c>
      <c r="E63">
        <f>VLOOKUP(C63,Active!C$21:E$972,3,FALSE)</f>
        <v>-23405.983047815964</v>
      </c>
      <c r="F63" s="15" t="s">
        <v>91</v>
      </c>
      <c r="G63" t="str">
        <f t="shared" si="10"/>
        <v>30143.428</v>
      </c>
      <c r="H63" s="25">
        <f t="shared" si="11"/>
        <v>-11549.5</v>
      </c>
      <c r="I63" s="63" t="s">
        <v>323</v>
      </c>
      <c r="J63" s="64" t="s">
        <v>324</v>
      </c>
      <c r="K63" s="63">
        <v>-11549.5</v>
      </c>
      <c r="L63" s="63" t="s">
        <v>325</v>
      </c>
      <c r="M63" s="64" t="s">
        <v>306</v>
      </c>
      <c r="N63" s="64"/>
      <c r="O63" s="65" t="s">
        <v>307</v>
      </c>
      <c r="P63" s="65" t="s">
        <v>45</v>
      </c>
    </row>
    <row r="64" spans="1:16" ht="12.75" customHeight="1">
      <c r="A64" s="25" t="str">
        <f t="shared" si="6"/>
        <v> WLVO 15.35 </v>
      </c>
      <c r="B64" s="15" t="str">
        <f t="shared" si="7"/>
        <v>II</v>
      </c>
      <c r="C64" s="25">
        <f t="shared" si="8"/>
        <v>30146.424999999999</v>
      </c>
      <c r="D64" t="str">
        <f t="shared" si="9"/>
        <v>vis</v>
      </c>
      <c r="E64">
        <f>VLOOKUP(C64,Active!C$21:E$972,3,FALSE)</f>
        <v>-23403.033248266507</v>
      </c>
      <c r="F64" s="15" t="s">
        <v>91</v>
      </c>
      <c r="G64" t="str">
        <f t="shared" si="10"/>
        <v>30146.425</v>
      </c>
      <c r="H64" s="25">
        <f t="shared" si="11"/>
        <v>-11546.5</v>
      </c>
      <c r="I64" s="63" t="s">
        <v>326</v>
      </c>
      <c r="J64" s="64" t="s">
        <v>327</v>
      </c>
      <c r="K64" s="63">
        <v>-11546.5</v>
      </c>
      <c r="L64" s="63" t="s">
        <v>328</v>
      </c>
      <c r="M64" s="64" t="s">
        <v>306</v>
      </c>
      <c r="N64" s="64"/>
      <c r="O64" s="65" t="s">
        <v>307</v>
      </c>
      <c r="P64" s="65" t="s">
        <v>45</v>
      </c>
    </row>
    <row r="65" spans="1:16" ht="12.75" customHeight="1">
      <c r="A65" s="25" t="str">
        <f t="shared" si="6"/>
        <v> WLVO 15.35 </v>
      </c>
      <c r="B65" s="15" t="str">
        <f t="shared" si="7"/>
        <v>II</v>
      </c>
      <c r="C65" s="25">
        <f t="shared" si="8"/>
        <v>30146.451000000001</v>
      </c>
      <c r="D65" t="str">
        <f t="shared" si="9"/>
        <v>vis</v>
      </c>
      <c r="E65">
        <f>VLOOKUP(C65,Active!C$21:E$972,3,FALSE)</f>
        <v>-23403.007657746559</v>
      </c>
      <c r="F65" s="15" t="s">
        <v>91</v>
      </c>
      <c r="G65" t="str">
        <f t="shared" si="10"/>
        <v>30146.451</v>
      </c>
      <c r="H65" s="25">
        <f t="shared" si="11"/>
        <v>-11546.5</v>
      </c>
      <c r="I65" s="63" t="s">
        <v>329</v>
      </c>
      <c r="J65" s="64" t="s">
        <v>330</v>
      </c>
      <c r="K65" s="63">
        <v>-11546.5</v>
      </c>
      <c r="L65" s="63" t="s">
        <v>331</v>
      </c>
      <c r="M65" s="64" t="s">
        <v>306</v>
      </c>
      <c r="N65" s="64"/>
      <c r="O65" s="65" t="s">
        <v>307</v>
      </c>
      <c r="P65" s="65" t="s">
        <v>45</v>
      </c>
    </row>
    <row r="66" spans="1:16" ht="12.75" customHeight="1">
      <c r="A66" s="25" t="str">
        <f t="shared" si="6"/>
        <v> WLVO 15.35 </v>
      </c>
      <c r="B66" s="15" t="str">
        <f t="shared" si="7"/>
        <v>II</v>
      </c>
      <c r="C66" s="25">
        <f t="shared" si="8"/>
        <v>30147.487000000001</v>
      </c>
      <c r="D66" t="str">
        <f t="shared" si="9"/>
        <v>vis</v>
      </c>
      <c r="E66">
        <f>VLOOKUP(C66,Active!C$21:E$972,3,FALSE)</f>
        <v>-23401.987973951684</v>
      </c>
      <c r="F66" s="15" t="s">
        <v>91</v>
      </c>
      <c r="G66" t="str">
        <f t="shared" si="10"/>
        <v>30147.487</v>
      </c>
      <c r="H66" s="25">
        <f t="shared" si="11"/>
        <v>-11545.5</v>
      </c>
      <c r="I66" s="63" t="s">
        <v>332</v>
      </c>
      <c r="J66" s="64" t="s">
        <v>333</v>
      </c>
      <c r="K66" s="63">
        <v>-11545.5</v>
      </c>
      <c r="L66" s="63" t="s">
        <v>334</v>
      </c>
      <c r="M66" s="64" t="s">
        <v>306</v>
      </c>
      <c r="N66" s="64"/>
      <c r="O66" s="65" t="s">
        <v>307</v>
      </c>
      <c r="P66" s="65" t="s">
        <v>45</v>
      </c>
    </row>
    <row r="67" spans="1:16" ht="12.75" customHeight="1">
      <c r="A67" s="25" t="str">
        <f t="shared" si="6"/>
        <v> WLVO 15.35 </v>
      </c>
      <c r="B67" s="15" t="str">
        <f t="shared" si="7"/>
        <v>II</v>
      </c>
      <c r="C67" s="25">
        <f t="shared" si="8"/>
        <v>30468.535</v>
      </c>
      <c r="D67" t="str">
        <f t="shared" si="9"/>
        <v>vis</v>
      </c>
      <c r="E67">
        <f>VLOOKUP(C67,Active!C$21:E$972,3,FALSE)</f>
        <v>-23085.996233626644</v>
      </c>
      <c r="F67" s="15" t="s">
        <v>91</v>
      </c>
      <c r="G67" t="str">
        <f t="shared" si="10"/>
        <v>30468.535</v>
      </c>
      <c r="H67" s="25">
        <f t="shared" si="11"/>
        <v>-11229.5</v>
      </c>
      <c r="I67" s="63" t="s">
        <v>335</v>
      </c>
      <c r="J67" s="64" t="s">
        <v>336</v>
      </c>
      <c r="K67" s="63">
        <v>-11229.5</v>
      </c>
      <c r="L67" s="63" t="s">
        <v>337</v>
      </c>
      <c r="M67" s="64" t="s">
        <v>306</v>
      </c>
      <c r="N67" s="64"/>
      <c r="O67" s="65" t="s">
        <v>307</v>
      </c>
      <c r="P67" s="65" t="s">
        <v>45</v>
      </c>
    </row>
    <row r="68" spans="1:16" ht="12.75" customHeight="1">
      <c r="A68" s="25" t="str">
        <f t="shared" si="6"/>
        <v> WLVO 15.35 </v>
      </c>
      <c r="B68" s="15" t="str">
        <f t="shared" si="7"/>
        <v>II</v>
      </c>
      <c r="C68" s="25">
        <f t="shared" si="8"/>
        <v>30792.598999999998</v>
      </c>
      <c r="D68" t="str">
        <f t="shared" si="9"/>
        <v>vis</v>
      </c>
      <c r="E68">
        <f>VLOOKUP(C68,Active!C$21:E$972,3,FALSE)</f>
        <v>-22767.035992987567</v>
      </c>
      <c r="F68" s="15" t="s">
        <v>91</v>
      </c>
      <c r="G68" t="str">
        <f t="shared" si="10"/>
        <v>30792.599</v>
      </c>
      <c r="H68" s="25">
        <f t="shared" si="11"/>
        <v>-10910.5</v>
      </c>
      <c r="I68" s="63" t="s">
        <v>338</v>
      </c>
      <c r="J68" s="64" t="s">
        <v>339</v>
      </c>
      <c r="K68" s="63">
        <v>-10910.5</v>
      </c>
      <c r="L68" s="63" t="s">
        <v>340</v>
      </c>
      <c r="M68" s="64" t="s">
        <v>306</v>
      </c>
      <c r="N68" s="64"/>
      <c r="O68" s="65" t="s">
        <v>307</v>
      </c>
      <c r="P68" s="65" t="s">
        <v>45</v>
      </c>
    </row>
    <row r="69" spans="1:16" ht="12.75" customHeight="1">
      <c r="A69" s="25" t="str">
        <f t="shared" si="6"/>
        <v> WLVO 15.35 </v>
      </c>
      <c r="B69" s="15" t="str">
        <f t="shared" si="7"/>
        <v>II</v>
      </c>
      <c r="C69" s="25">
        <f t="shared" si="8"/>
        <v>30849.502</v>
      </c>
      <c r="D69" t="str">
        <f t="shared" si="9"/>
        <v>vis</v>
      </c>
      <c r="E69">
        <f>VLOOKUP(C69,Active!C$21:E$972,3,FALSE)</f>
        <v>-22711.029171578568</v>
      </c>
      <c r="F69" s="15" t="s">
        <v>91</v>
      </c>
      <c r="G69" t="str">
        <f t="shared" si="10"/>
        <v>30849.502</v>
      </c>
      <c r="H69" s="25">
        <f t="shared" si="11"/>
        <v>-10854.5</v>
      </c>
      <c r="I69" s="63" t="s">
        <v>341</v>
      </c>
      <c r="J69" s="64" t="s">
        <v>342</v>
      </c>
      <c r="K69" s="63">
        <v>-10854.5</v>
      </c>
      <c r="L69" s="63" t="s">
        <v>343</v>
      </c>
      <c r="M69" s="64" t="s">
        <v>306</v>
      </c>
      <c r="N69" s="64"/>
      <c r="O69" s="65" t="s">
        <v>307</v>
      </c>
      <c r="P69" s="65" t="s">
        <v>45</v>
      </c>
    </row>
    <row r="70" spans="1:16" ht="12.75" customHeight="1">
      <c r="A70" s="25" t="str">
        <f t="shared" si="6"/>
        <v> WLVO 15.35 </v>
      </c>
      <c r="B70" s="15" t="str">
        <f t="shared" si="7"/>
        <v>II</v>
      </c>
      <c r="C70" s="25">
        <f t="shared" si="8"/>
        <v>30964.326000000001</v>
      </c>
      <c r="D70" t="str">
        <f t="shared" si="9"/>
        <v>vis</v>
      </c>
      <c r="E70">
        <f>VLOOKUP(C70,Active!C$21:E$972,3,FALSE)</f>
        <v>-22598.013561479511</v>
      </c>
      <c r="F70" s="15" t="s">
        <v>91</v>
      </c>
      <c r="G70" t="str">
        <f t="shared" si="10"/>
        <v>30964.326</v>
      </c>
      <c r="H70" s="25">
        <f t="shared" si="11"/>
        <v>-10741.5</v>
      </c>
      <c r="I70" s="63" t="s">
        <v>344</v>
      </c>
      <c r="J70" s="64" t="s">
        <v>345</v>
      </c>
      <c r="K70" s="63">
        <v>-10741.5</v>
      </c>
      <c r="L70" s="63" t="s">
        <v>346</v>
      </c>
      <c r="M70" s="64" t="s">
        <v>306</v>
      </c>
      <c r="N70" s="64"/>
      <c r="O70" s="65" t="s">
        <v>307</v>
      </c>
      <c r="P70" s="65" t="s">
        <v>45</v>
      </c>
    </row>
    <row r="71" spans="1:16" ht="12.75" customHeight="1">
      <c r="A71" s="25" t="str">
        <f t="shared" si="6"/>
        <v> WLVO 15.35 </v>
      </c>
      <c r="B71" s="15" t="str">
        <f t="shared" si="7"/>
        <v>II</v>
      </c>
      <c r="C71" s="25">
        <f t="shared" si="8"/>
        <v>30964.351999999999</v>
      </c>
      <c r="D71" t="str">
        <f t="shared" si="9"/>
        <v>vis</v>
      </c>
      <c r="E71">
        <f>VLOOKUP(C71,Active!C$21:E$972,3,FALSE)</f>
        <v>-22597.987970959563</v>
      </c>
      <c r="F71" s="15" t="s">
        <v>91</v>
      </c>
      <c r="G71" t="str">
        <f t="shared" si="10"/>
        <v>30964.352</v>
      </c>
      <c r="H71" s="25">
        <f t="shared" si="11"/>
        <v>-10741.5</v>
      </c>
      <c r="I71" s="63" t="s">
        <v>347</v>
      </c>
      <c r="J71" s="64" t="s">
        <v>348</v>
      </c>
      <c r="K71" s="63">
        <v>-10741.5</v>
      </c>
      <c r="L71" s="63" t="s">
        <v>349</v>
      </c>
      <c r="M71" s="64" t="s">
        <v>306</v>
      </c>
      <c r="N71" s="64"/>
      <c r="O71" s="65" t="s">
        <v>307</v>
      </c>
      <c r="P71" s="65" t="s">
        <v>45</v>
      </c>
    </row>
    <row r="72" spans="1:16" ht="12.75" customHeight="1">
      <c r="A72" s="25" t="str">
        <f t="shared" si="6"/>
        <v> WLVO 15.35 </v>
      </c>
      <c r="B72" s="15" t="str">
        <f t="shared" si="7"/>
        <v>I</v>
      </c>
      <c r="C72" s="25">
        <f t="shared" si="8"/>
        <v>30991.307000000001</v>
      </c>
      <c r="D72" t="str">
        <f t="shared" si="9"/>
        <v>vis</v>
      </c>
      <c r="E72">
        <f>VLOOKUP(C72,Active!C$21:E$972,3,FALSE)</f>
        <v>-22571.457491528257</v>
      </c>
      <c r="F72" s="15" t="s">
        <v>91</v>
      </c>
      <c r="G72" t="str">
        <f t="shared" si="10"/>
        <v>30991.307</v>
      </c>
      <c r="H72" s="25">
        <f t="shared" si="11"/>
        <v>-10715</v>
      </c>
      <c r="I72" s="63" t="s">
        <v>350</v>
      </c>
      <c r="J72" s="64" t="s">
        <v>351</v>
      </c>
      <c r="K72" s="63">
        <v>-10715</v>
      </c>
      <c r="L72" s="63" t="s">
        <v>319</v>
      </c>
      <c r="M72" s="64" t="s">
        <v>306</v>
      </c>
      <c r="N72" s="64"/>
      <c r="O72" s="65" t="s">
        <v>307</v>
      </c>
      <c r="P72" s="65" t="s">
        <v>45</v>
      </c>
    </row>
    <row r="73" spans="1:16" ht="12.75" customHeight="1">
      <c r="A73" s="25" t="str">
        <f t="shared" si="6"/>
        <v> WLVO 15.35 </v>
      </c>
      <c r="B73" s="15" t="str">
        <f t="shared" si="7"/>
        <v>I</v>
      </c>
      <c r="C73" s="25">
        <f t="shared" si="8"/>
        <v>30992.272000000001</v>
      </c>
      <c r="D73" t="str">
        <f t="shared" si="9"/>
        <v>vis</v>
      </c>
      <c r="E73">
        <f>VLOOKUP(C73,Active!C$21:E$972,3,FALSE)</f>
        <v>-22570.507689537859</v>
      </c>
      <c r="F73" s="15" t="s">
        <v>91</v>
      </c>
      <c r="G73" t="str">
        <f t="shared" si="10"/>
        <v>30992.272</v>
      </c>
      <c r="H73" s="25">
        <f t="shared" si="11"/>
        <v>-10714</v>
      </c>
      <c r="I73" s="63" t="s">
        <v>352</v>
      </c>
      <c r="J73" s="64" t="s">
        <v>353</v>
      </c>
      <c r="K73" s="63">
        <v>-10714</v>
      </c>
      <c r="L73" s="63" t="s">
        <v>354</v>
      </c>
      <c r="M73" s="64" t="s">
        <v>306</v>
      </c>
      <c r="N73" s="64"/>
      <c r="O73" s="65" t="s">
        <v>307</v>
      </c>
      <c r="P73" s="65" t="s">
        <v>45</v>
      </c>
    </row>
    <row r="74" spans="1:16" ht="12.75" customHeight="1">
      <c r="A74" s="25" t="str">
        <f t="shared" si="6"/>
        <v> WLVO 15.35 </v>
      </c>
      <c r="B74" s="15" t="str">
        <f t="shared" si="7"/>
        <v>I</v>
      </c>
      <c r="C74" s="25">
        <f t="shared" si="8"/>
        <v>30993.297999999999</v>
      </c>
      <c r="D74" t="str">
        <f t="shared" si="9"/>
        <v>vis</v>
      </c>
      <c r="E74">
        <f>VLOOKUP(C74,Active!C$21:E$972,3,FALSE)</f>
        <v>-22569.497848250656</v>
      </c>
      <c r="F74" s="15" t="s">
        <v>91</v>
      </c>
      <c r="G74" t="str">
        <f t="shared" si="10"/>
        <v>30993.298</v>
      </c>
      <c r="H74" s="25">
        <f t="shared" si="11"/>
        <v>-10713</v>
      </c>
      <c r="I74" s="63" t="s">
        <v>355</v>
      </c>
      <c r="J74" s="64" t="s">
        <v>356</v>
      </c>
      <c r="K74" s="63">
        <v>-10713</v>
      </c>
      <c r="L74" s="63" t="s">
        <v>357</v>
      </c>
      <c r="M74" s="64" t="s">
        <v>306</v>
      </c>
      <c r="N74" s="64"/>
      <c r="O74" s="65" t="s">
        <v>307</v>
      </c>
      <c r="P74" s="65" t="s">
        <v>45</v>
      </c>
    </row>
    <row r="75" spans="1:16" ht="12.75" customHeight="1">
      <c r="A75" s="25" t="str">
        <f t="shared" ref="A75:A91" si="12">P75</f>
        <v> WLVO 15.35 </v>
      </c>
      <c r="B75" s="15" t="str">
        <f t="shared" ref="B75:B91" si="13">IF(H75=INT(H75),"I","II")</f>
        <v>II</v>
      </c>
      <c r="C75" s="25">
        <f t="shared" ref="C75:C91" si="14">1*G75</f>
        <v>31019.238000000001</v>
      </c>
      <c r="D75" t="str">
        <f t="shared" ref="D75:D91" si="15">VLOOKUP(F75,I$1:J$5,2,FALSE)</f>
        <v>vis</v>
      </c>
      <c r="E75">
        <f>VLOOKUP(C75,Active!C$21:E$972,3,FALSE)</f>
        <v>-22543.966383348114</v>
      </c>
      <c r="F75" s="15" t="s">
        <v>91</v>
      </c>
      <c r="G75" t="str">
        <f t="shared" ref="G75:G91" si="16">MID(I75,3,LEN(I75)-3)</f>
        <v>31019.238</v>
      </c>
      <c r="H75" s="25">
        <f t="shared" ref="H75:H91" si="17">1*K75</f>
        <v>-10687.5</v>
      </c>
      <c r="I75" s="63" t="s">
        <v>358</v>
      </c>
      <c r="J75" s="64" t="s">
        <v>359</v>
      </c>
      <c r="K75" s="63">
        <v>-10687.5</v>
      </c>
      <c r="L75" s="63" t="s">
        <v>360</v>
      </c>
      <c r="M75" s="64" t="s">
        <v>306</v>
      </c>
      <c r="N75" s="64"/>
      <c r="O75" s="65" t="s">
        <v>307</v>
      </c>
      <c r="P75" s="65" t="s">
        <v>45</v>
      </c>
    </row>
    <row r="76" spans="1:16" ht="12.75" customHeight="1">
      <c r="A76" s="25" t="str">
        <f t="shared" si="12"/>
        <v> AC 184.21 </v>
      </c>
      <c r="B76" s="15" t="str">
        <f t="shared" si="13"/>
        <v>I</v>
      </c>
      <c r="C76" s="25">
        <f t="shared" si="14"/>
        <v>36050.347999999998</v>
      </c>
      <c r="D76" t="str">
        <f t="shared" si="15"/>
        <v>vis</v>
      </c>
      <c r="E76">
        <f>VLOOKUP(C76,Active!C$21:E$972,3,FALSE)</f>
        <v>-17592.09250571387</v>
      </c>
      <c r="F76" s="15" t="s">
        <v>91</v>
      </c>
      <c r="G76" t="str">
        <f t="shared" si="16"/>
        <v>36050.348</v>
      </c>
      <c r="H76" s="25">
        <f t="shared" si="17"/>
        <v>-5755</v>
      </c>
      <c r="I76" s="63" t="s">
        <v>361</v>
      </c>
      <c r="J76" s="64" t="s">
        <v>362</v>
      </c>
      <c r="K76" s="63">
        <v>-5755</v>
      </c>
      <c r="L76" s="63" t="s">
        <v>363</v>
      </c>
      <c r="M76" s="64" t="s">
        <v>121</v>
      </c>
      <c r="N76" s="64"/>
      <c r="O76" s="65" t="s">
        <v>364</v>
      </c>
      <c r="P76" s="65" t="s">
        <v>47</v>
      </c>
    </row>
    <row r="77" spans="1:16" ht="12.75" customHeight="1">
      <c r="A77" s="25" t="str">
        <f t="shared" si="12"/>
        <v> AC 187.17 </v>
      </c>
      <c r="B77" s="15" t="str">
        <f t="shared" si="13"/>
        <v>I</v>
      </c>
      <c r="C77" s="25">
        <f t="shared" si="14"/>
        <v>36050.355000000003</v>
      </c>
      <c r="D77" t="str">
        <f t="shared" si="15"/>
        <v>vis</v>
      </c>
      <c r="E77">
        <f>VLOOKUP(C77,Active!C$21:E$972,3,FALSE)</f>
        <v>-17592.085615958495</v>
      </c>
      <c r="F77" s="15" t="s">
        <v>91</v>
      </c>
      <c r="G77" t="str">
        <f t="shared" si="16"/>
        <v>36050.355</v>
      </c>
      <c r="H77" s="25">
        <f t="shared" si="17"/>
        <v>-5755</v>
      </c>
      <c r="I77" s="63" t="s">
        <v>365</v>
      </c>
      <c r="J77" s="64" t="s">
        <v>366</v>
      </c>
      <c r="K77" s="63">
        <v>-5755</v>
      </c>
      <c r="L77" s="63" t="s">
        <v>367</v>
      </c>
      <c r="M77" s="64" t="s">
        <v>121</v>
      </c>
      <c r="N77" s="64"/>
      <c r="O77" s="65" t="s">
        <v>368</v>
      </c>
      <c r="P77" s="65" t="s">
        <v>48</v>
      </c>
    </row>
    <row r="78" spans="1:16" ht="12.75" customHeight="1">
      <c r="A78" s="25" t="str">
        <f t="shared" si="12"/>
        <v> AC 184.21 </v>
      </c>
      <c r="B78" s="15" t="str">
        <f t="shared" si="13"/>
        <v>I</v>
      </c>
      <c r="C78" s="25">
        <f t="shared" si="14"/>
        <v>36053.408000000003</v>
      </c>
      <c r="D78" t="str">
        <f t="shared" si="15"/>
        <v>vis</v>
      </c>
      <c r="E78">
        <f>VLOOKUP(C78,Active!C$21:E$972,3,FALSE)</f>
        <v>-17589.080698366073</v>
      </c>
      <c r="F78" s="15" t="s">
        <v>91</v>
      </c>
      <c r="G78" t="str">
        <f t="shared" si="16"/>
        <v>36053.408</v>
      </c>
      <c r="H78" s="25">
        <f t="shared" si="17"/>
        <v>-5752</v>
      </c>
      <c r="I78" s="63" t="s">
        <v>369</v>
      </c>
      <c r="J78" s="64" t="s">
        <v>370</v>
      </c>
      <c r="K78" s="63">
        <v>-5752</v>
      </c>
      <c r="L78" s="63" t="s">
        <v>371</v>
      </c>
      <c r="M78" s="64" t="s">
        <v>121</v>
      </c>
      <c r="N78" s="64"/>
      <c r="O78" s="65" t="s">
        <v>364</v>
      </c>
      <c r="P78" s="65" t="s">
        <v>47</v>
      </c>
    </row>
    <row r="79" spans="1:16" ht="12.75" customHeight="1">
      <c r="A79" s="25" t="str">
        <f t="shared" si="12"/>
        <v>BAVM 79 </v>
      </c>
      <c r="B79" s="15" t="str">
        <f t="shared" si="13"/>
        <v>I</v>
      </c>
      <c r="C79" s="25">
        <f t="shared" si="14"/>
        <v>49515.512000000002</v>
      </c>
      <c r="D79" t="str">
        <f t="shared" si="15"/>
        <v>vis</v>
      </c>
      <c r="E79">
        <f>VLOOKUP(C79,Active!C$21:E$972,3,FALSE)</f>
        <v>-4338.994507526385</v>
      </c>
      <c r="F79" s="15" t="s">
        <v>91</v>
      </c>
      <c r="G79" t="str">
        <f t="shared" si="16"/>
        <v>49515.512</v>
      </c>
      <c r="H79" s="25">
        <f t="shared" si="17"/>
        <v>7498</v>
      </c>
      <c r="I79" s="63" t="s">
        <v>372</v>
      </c>
      <c r="J79" s="64" t="s">
        <v>373</v>
      </c>
      <c r="K79" s="63">
        <v>7498</v>
      </c>
      <c r="L79" s="63" t="s">
        <v>374</v>
      </c>
      <c r="M79" s="64" t="s">
        <v>121</v>
      </c>
      <c r="N79" s="64"/>
      <c r="O79" s="65" t="s">
        <v>375</v>
      </c>
      <c r="P79" s="66" t="s">
        <v>60</v>
      </c>
    </row>
    <row r="80" spans="1:16" ht="12.75" customHeight="1">
      <c r="A80" s="25" t="str">
        <f t="shared" si="12"/>
        <v>IBVS 4380/4670 </v>
      </c>
      <c r="B80" s="15" t="str">
        <f t="shared" si="13"/>
        <v>II</v>
      </c>
      <c r="C80" s="25">
        <f t="shared" si="14"/>
        <v>49539.377500000002</v>
      </c>
      <c r="D80" t="str">
        <f t="shared" si="15"/>
        <v>vis</v>
      </c>
      <c r="E80">
        <f>VLOOKUP(C80,Active!C$21:E$972,3,FALSE)</f>
        <v>-4315.5048708405093</v>
      </c>
      <c r="F80" s="15" t="s">
        <v>91</v>
      </c>
      <c r="G80" t="str">
        <f t="shared" si="16"/>
        <v>49539.3775</v>
      </c>
      <c r="H80" s="25">
        <f t="shared" si="17"/>
        <v>7521.5</v>
      </c>
      <c r="I80" s="63" t="s">
        <v>376</v>
      </c>
      <c r="J80" s="64" t="s">
        <v>377</v>
      </c>
      <c r="K80" s="63">
        <v>7521.5</v>
      </c>
      <c r="L80" s="63" t="s">
        <v>378</v>
      </c>
      <c r="M80" s="64" t="s">
        <v>95</v>
      </c>
      <c r="N80" s="64" t="s">
        <v>96</v>
      </c>
      <c r="O80" s="65" t="s">
        <v>379</v>
      </c>
      <c r="P80" s="66" t="s">
        <v>380</v>
      </c>
    </row>
    <row r="81" spans="1:16" ht="12.75" customHeight="1">
      <c r="A81" s="25" t="str">
        <f t="shared" si="12"/>
        <v>IBVS 4380/4670 </v>
      </c>
      <c r="B81" s="15" t="str">
        <f t="shared" si="13"/>
        <v>II</v>
      </c>
      <c r="C81" s="25">
        <f t="shared" si="14"/>
        <v>49546.492100000003</v>
      </c>
      <c r="D81" t="str">
        <f t="shared" si="15"/>
        <v>vis</v>
      </c>
      <c r="E81">
        <f>VLOOKUP(C81,Active!C$21:E$972,3,FALSE)</f>
        <v>-4308.5023203318096</v>
      </c>
      <c r="F81" s="15" t="s">
        <v>91</v>
      </c>
      <c r="G81" t="str">
        <f t="shared" si="16"/>
        <v>49546.4921</v>
      </c>
      <c r="H81" s="25">
        <f t="shared" si="17"/>
        <v>7528.5</v>
      </c>
      <c r="I81" s="63" t="s">
        <v>381</v>
      </c>
      <c r="J81" s="64" t="s">
        <v>382</v>
      </c>
      <c r="K81" s="63">
        <v>7528.5</v>
      </c>
      <c r="L81" s="63" t="s">
        <v>383</v>
      </c>
      <c r="M81" s="64" t="s">
        <v>95</v>
      </c>
      <c r="N81" s="64" t="s">
        <v>96</v>
      </c>
      <c r="O81" s="65" t="s">
        <v>379</v>
      </c>
      <c r="P81" s="66" t="s">
        <v>380</v>
      </c>
    </row>
    <row r="82" spans="1:16" ht="12.75" customHeight="1">
      <c r="A82" s="25" t="str">
        <f t="shared" si="12"/>
        <v>IBVS 4380/4670 </v>
      </c>
      <c r="B82" s="15" t="str">
        <f t="shared" si="13"/>
        <v>I</v>
      </c>
      <c r="C82" s="25">
        <f t="shared" si="14"/>
        <v>49567.328999999998</v>
      </c>
      <c r="D82" t="str">
        <f t="shared" si="15"/>
        <v>vis</v>
      </c>
      <c r="E82">
        <f>VLOOKUP(C82,Active!C$21:E$972,3,FALSE)</f>
        <v>-4287.9935855196409</v>
      </c>
      <c r="F82" s="15" t="s">
        <v>91</v>
      </c>
      <c r="G82" t="str">
        <f t="shared" si="16"/>
        <v>49567.3290</v>
      </c>
      <c r="H82" s="25">
        <f t="shared" si="17"/>
        <v>7549</v>
      </c>
      <c r="I82" s="63" t="s">
        <v>384</v>
      </c>
      <c r="J82" s="64" t="s">
        <v>385</v>
      </c>
      <c r="K82" s="63">
        <v>7549</v>
      </c>
      <c r="L82" s="63" t="s">
        <v>386</v>
      </c>
      <c r="M82" s="64" t="s">
        <v>95</v>
      </c>
      <c r="N82" s="64" t="s">
        <v>96</v>
      </c>
      <c r="O82" s="65" t="s">
        <v>379</v>
      </c>
      <c r="P82" s="66" t="s">
        <v>380</v>
      </c>
    </row>
    <row r="83" spans="1:16" ht="12.75" customHeight="1">
      <c r="A83" s="25" t="str">
        <f t="shared" si="12"/>
        <v>IBVS 4380/4670 </v>
      </c>
      <c r="B83" s="15" t="str">
        <f t="shared" si="13"/>
        <v>I</v>
      </c>
      <c r="C83" s="25">
        <f t="shared" si="14"/>
        <v>50269.383399999999</v>
      </c>
      <c r="D83" t="str">
        <f t="shared" si="15"/>
        <v>vis</v>
      </c>
      <c r="E83">
        <f>VLOOKUP(C83,Active!C$21:E$972,3,FALSE)</f>
        <v>-3596.9960036662951</v>
      </c>
      <c r="F83" s="15" t="s">
        <v>91</v>
      </c>
      <c r="G83" t="str">
        <f t="shared" si="16"/>
        <v>50269.3834</v>
      </c>
      <c r="H83" s="25">
        <f t="shared" si="17"/>
        <v>8240</v>
      </c>
      <c r="I83" s="63" t="s">
        <v>387</v>
      </c>
      <c r="J83" s="64" t="s">
        <v>388</v>
      </c>
      <c r="K83" s="63">
        <v>8240</v>
      </c>
      <c r="L83" s="63" t="s">
        <v>389</v>
      </c>
      <c r="M83" s="64" t="s">
        <v>95</v>
      </c>
      <c r="N83" s="64" t="s">
        <v>96</v>
      </c>
      <c r="O83" s="65" t="s">
        <v>142</v>
      </c>
      <c r="P83" s="66" t="s">
        <v>380</v>
      </c>
    </row>
    <row r="84" spans="1:16" ht="12.75" customHeight="1">
      <c r="A84" s="25" t="str">
        <f t="shared" si="12"/>
        <v>IBVS 4380/4670 </v>
      </c>
      <c r="B84" s="15" t="str">
        <f t="shared" si="13"/>
        <v>I</v>
      </c>
      <c r="C84" s="25">
        <f t="shared" si="14"/>
        <v>50274.463400000001</v>
      </c>
      <c r="D84" t="str">
        <f t="shared" si="15"/>
        <v>vis</v>
      </c>
      <c r="E84">
        <f>VLOOKUP(C84,Active!C$21:E$972,3,FALSE)</f>
        <v>-3591.996009768648</v>
      </c>
      <c r="F84" s="15" t="s">
        <v>91</v>
      </c>
      <c r="G84" t="str">
        <f t="shared" si="16"/>
        <v>50274.4634</v>
      </c>
      <c r="H84" s="25">
        <f t="shared" si="17"/>
        <v>8245</v>
      </c>
      <c r="I84" s="63" t="s">
        <v>390</v>
      </c>
      <c r="J84" s="64" t="s">
        <v>391</v>
      </c>
      <c r="K84" s="63">
        <v>8245</v>
      </c>
      <c r="L84" s="63" t="s">
        <v>389</v>
      </c>
      <c r="M84" s="64" t="s">
        <v>95</v>
      </c>
      <c r="N84" s="64" t="s">
        <v>96</v>
      </c>
      <c r="O84" s="65" t="s">
        <v>379</v>
      </c>
      <c r="P84" s="66" t="s">
        <v>380</v>
      </c>
    </row>
    <row r="85" spans="1:16" ht="12.75" customHeight="1">
      <c r="A85" s="25" t="str">
        <f t="shared" si="12"/>
        <v>IBVS 5754 </v>
      </c>
      <c r="B85" s="15" t="str">
        <f t="shared" si="13"/>
        <v>I</v>
      </c>
      <c r="C85" s="25">
        <f t="shared" si="14"/>
        <v>53894.464699999997</v>
      </c>
      <c r="D85" t="str">
        <f t="shared" si="15"/>
        <v>vis</v>
      </c>
      <c r="E85">
        <f>VLOOKUP(C85,Active!C$21:E$972,3,FALSE)</f>
        <v>-29.006952786792347</v>
      </c>
      <c r="F85" s="15" t="s">
        <v>91</v>
      </c>
      <c r="G85" t="str">
        <f t="shared" si="16"/>
        <v>53894.4647</v>
      </c>
      <c r="H85" s="25">
        <f t="shared" si="17"/>
        <v>11808</v>
      </c>
      <c r="I85" s="63" t="s">
        <v>392</v>
      </c>
      <c r="J85" s="64" t="s">
        <v>393</v>
      </c>
      <c r="K85" s="63" t="s">
        <v>394</v>
      </c>
      <c r="L85" s="63" t="s">
        <v>395</v>
      </c>
      <c r="M85" s="64" t="s">
        <v>95</v>
      </c>
      <c r="N85" s="64" t="s">
        <v>96</v>
      </c>
      <c r="O85" s="65" t="s">
        <v>396</v>
      </c>
      <c r="P85" s="66" t="s">
        <v>397</v>
      </c>
    </row>
    <row r="86" spans="1:16" ht="12.75" customHeight="1">
      <c r="A86" s="25" t="str">
        <f t="shared" si="12"/>
        <v> arXiv 1101.5269 </v>
      </c>
      <c r="B86" s="15" t="str">
        <f t="shared" si="13"/>
        <v>I</v>
      </c>
      <c r="C86" s="25">
        <f t="shared" si="14"/>
        <v>55352.429980000001</v>
      </c>
      <c r="D86" t="str">
        <f t="shared" si="15"/>
        <v>vis</v>
      </c>
      <c r="E86">
        <f>VLOOKUP(C86,Active!C$21:E$972,3,FALSE)</f>
        <v>1405.9964926814473</v>
      </c>
      <c r="F86" s="15" t="s">
        <v>91</v>
      </c>
      <c r="G86" t="str">
        <f t="shared" si="16"/>
        <v>55352.42998</v>
      </c>
      <c r="H86" s="25">
        <f t="shared" si="17"/>
        <v>13243</v>
      </c>
      <c r="I86" s="63" t="s">
        <v>398</v>
      </c>
      <c r="J86" s="64" t="s">
        <v>399</v>
      </c>
      <c r="K86" s="63" t="s">
        <v>400</v>
      </c>
      <c r="L86" s="63" t="s">
        <v>401</v>
      </c>
      <c r="M86" s="64" t="s">
        <v>188</v>
      </c>
      <c r="N86" s="64" t="s">
        <v>269</v>
      </c>
      <c r="O86" s="65" t="s">
        <v>402</v>
      </c>
      <c r="P86" s="65" t="s">
        <v>70</v>
      </c>
    </row>
    <row r="87" spans="1:16" ht="12.75" customHeight="1">
      <c r="A87" s="25" t="str">
        <f t="shared" si="12"/>
        <v> arXiv 1101.5269 </v>
      </c>
      <c r="B87" s="15" t="str">
        <f t="shared" si="13"/>
        <v>I</v>
      </c>
      <c r="C87" s="25">
        <f t="shared" si="14"/>
        <v>55356.494129999999</v>
      </c>
      <c r="D87" t="str">
        <f t="shared" si="15"/>
        <v>vis</v>
      </c>
      <c r="E87">
        <f>VLOOKUP(C87,Active!C$21:E$972,3,FALSE)</f>
        <v>1409.996635437177</v>
      </c>
      <c r="F87" s="15" t="s">
        <v>91</v>
      </c>
      <c r="G87" t="str">
        <f t="shared" si="16"/>
        <v>55356.49413</v>
      </c>
      <c r="H87" s="25">
        <f t="shared" si="17"/>
        <v>13247</v>
      </c>
      <c r="I87" s="63" t="s">
        <v>403</v>
      </c>
      <c r="J87" s="64" t="s">
        <v>404</v>
      </c>
      <c r="K87" s="63" t="s">
        <v>405</v>
      </c>
      <c r="L87" s="63" t="s">
        <v>406</v>
      </c>
      <c r="M87" s="64" t="s">
        <v>188</v>
      </c>
      <c r="N87" s="64" t="s">
        <v>269</v>
      </c>
      <c r="O87" s="65" t="s">
        <v>402</v>
      </c>
      <c r="P87" s="65" t="s">
        <v>70</v>
      </c>
    </row>
    <row r="88" spans="1:16" ht="12.75" customHeight="1">
      <c r="A88" s="25" t="str">
        <f t="shared" si="12"/>
        <v> arXiv 1101.5269 </v>
      </c>
      <c r="B88" s="15" t="str">
        <f t="shared" si="13"/>
        <v>I</v>
      </c>
      <c r="C88" s="25">
        <f t="shared" si="14"/>
        <v>55357.510139999999</v>
      </c>
      <c r="D88" t="str">
        <f t="shared" si="15"/>
        <v>vis</v>
      </c>
      <c r="E88">
        <f>VLOOKUP(C88,Active!C$21:E$972,3,FALSE)</f>
        <v>1410.9966440592132</v>
      </c>
      <c r="F88" s="15" t="s">
        <v>91</v>
      </c>
      <c r="G88" t="str">
        <f t="shared" si="16"/>
        <v>55357.51014</v>
      </c>
      <c r="H88" s="25">
        <f t="shared" si="17"/>
        <v>13248</v>
      </c>
      <c r="I88" s="63" t="s">
        <v>407</v>
      </c>
      <c r="J88" s="64" t="s">
        <v>408</v>
      </c>
      <c r="K88" s="63" t="s">
        <v>409</v>
      </c>
      <c r="L88" s="63" t="s">
        <v>410</v>
      </c>
      <c r="M88" s="64" t="s">
        <v>188</v>
      </c>
      <c r="N88" s="64" t="s">
        <v>269</v>
      </c>
      <c r="O88" s="65" t="s">
        <v>402</v>
      </c>
      <c r="P88" s="65" t="s">
        <v>70</v>
      </c>
    </row>
    <row r="89" spans="1:16" ht="12.75" customHeight="1">
      <c r="A89" s="25" t="str">
        <f t="shared" si="12"/>
        <v> arXiv 1101.5269 </v>
      </c>
      <c r="B89" s="15" t="str">
        <f t="shared" si="13"/>
        <v>II</v>
      </c>
      <c r="C89" s="25">
        <f t="shared" si="14"/>
        <v>55379.360849999997</v>
      </c>
      <c r="D89" t="str">
        <f t="shared" si="15"/>
        <v>vis</v>
      </c>
      <c r="E89">
        <f>VLOOKUP(C89,Active!C$21:E$972,3,FALSE)</f>
        <v>1432.5032221417348</v>
      </c>
      <c r="F89" s="15" t="s">
        <v>91</v>
      </c>
      <c r="G89" t="str">
        <f t="shared" si="16"/>
        <v>55379.36085</v>
      </c>
      <c r="H89" s="25">
        <f t="shared" si="17"/>
        <v>13269.5</v>
      </c>
      <c r="I89" s="63" t="s">
        <v>411</v>
      </c>
      <c r="J89" s="64" t="s">
        <v>412</v>
      </c>
      <c r="K89" s="63" t="s">
        <v>413</v>
      </c>
      <c r="L89" s="63" t="s">
        <v>414</v>
      </c>
      <c r="M89" s="64" t="s">
        <v>188</v>
      </c>
      <c r="N89" s="64" t="s">
        <v>269</v>
      </c>
      <c r="O89" s="65" t="s">
        <v>402</v>
      </c>
      <c r="P89" s="65" t="s">
        <v>70</v>
      </c>
    </row>
    <row r="90" spans="1:16" ht="12.75" customHeight="1">
      <c r="A90" s="25" t="str">
        <f t="shared" si="12"/>
        <v> arXiv 1101.5269 </v>
      </c>
      <c r="B90" s="15" t="str">
        <f t="shared" si="13"/>
        <v>II</v>
      </c>
      <c r="C90" s="25">
        <f t="shared" si="14"/>
        <v>55382.409090000001</v>
      </c>
      <c r="D90" t="str">
        <f t="shared" si="15"/>
        <v>vis</v>
      </c>
      <c r="E90">
        <f>VLOOKUP(C90,Active!C$21:E$972,3,FALSE)</f>
        <v>1435.5034547005098</v>
      </c>
      <c r="F90" s="15" t="s">
        <v>91</v>
      </c>
      <c r="G90" t="str">
        <f t="shared" si="16"/>
        <v>55382.40909</v>
      </c>
      <c r="H90" s="25">
        <f t="shared" si="17"/>
        <v>13272.5</v>
      </c>
      <c r="I90" s="63" t="s">
        <v>415</v>
      </c>
      <c r="J90" s="64" t="s">
        <v>416</v>
      </c>
      <c r="K90" s="63" t="s">
        <v>417</v>
      </c>
      <c r="L90" s="63" t="s">
        <v>418</v>
      </c>
      <c r="M90" s="64" t="s">
        <v>188</v>
      </c>
      <c r="N90" s="64" t="s">
        <v>269</v>
      </c>
      <c r="O90" s="65" t="s">
        <v>402</v>
      </c>
      <c r="P90" s="65" t="s">
        <v>70</v>
      </c>
    </row>
    <row r="91" spans="1:16" ht="12.75" customHeight="1">
      <c r="A91" s="25" t="str">
        <f t="shared" si="12"/>
        <v>BAVM 225 </v>
      </c>
      <c r="B91" s="15" t="str">
        <f t="shared" si="13"/>
        <v>I</v>
      </c>
      <c r="C91" s="25">
        <f t="shared" si="14"/>
        <v>55676.534599999999</v>
      </c>
      <c r="D91" t="str">
        <f t="shared" si="15"/>
        <v>vis</v>
      </c>
      <c r="E91">
        <f>VLOOKUP(C91,Active!C$21:E$972,3,FALSE)</f>
        <v>1724.9967135866877</v>
      </c>
      <c r="F91" s="15" t="s">
        <v>91</v>
      </c>
      <c r="G91" t="str">
        <f t="shared" si="16"/>
        <v>55676.5346</v>
      </c>
      <c r="H91" s="25">
        <f t="shared" si="17"/>
        <v>13562</v>
      </c>
      <c r="I91" s="63" t="s">
        <v>419</v>
      </c>
      <c r="J91" s="64" t="s">
        <v>420</v>
      </c>
      <c r="K91" s="63" t="s">
        <v>421</v>
      </c>
      <c r="L91" s="63" t="s">
        <v>386</v>
      </c>
      <c r="M91" s="64" t="s">
        <v>188</v>
      </c>
      <c r="N91" s="64" t="s">
        <v>182</v>
      </c>
      <c r="O91" s="65" t="s">
        <v>422</v>
      </c>
      <c r="P91" s="66" t="s">
        <v>71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20" r:id="rId4" xr:uid="{00000000-0004-0000-0100-000003000000}"/>
    <hyperlink ref="P21" r:id="rId5" xr:uid="{00000000-0004-0000-0100-000004000000}"/>
    <hyperlink ref="P22" r:id="rId6" xr:uid="{00000000-0004-0000-0100-000005000000}"/>
    <hyperlink ref="P23" r:id="rId7" xr:uid="{00000000-0004-0000-0100-000006000000}"/>
    <hyperlink ref="P24" r:id="rId8" xr:uid="{00000000-0004-0000-0100-000007000000}"/>
    <hyperlink ref="P25" r:id="rId9" xr:uid="{00000000-0004-0000-0100-000008000000}"/>
    <hyperlink ref="P26" r:id="rId10" xr:uid="{00000000-0004-0000-0100-000009000000}"/>
    <hyperlink ref="P28" r:id="rId11" xr:uid="{00000000-0004-0000-0100-00000A000000}"/>
    <hyperlink ref="P31" r:id="rId12" xr:uid="{00000000-0004-0000-0100-00000B000000}"/>
    <hyperlink ref="P32" r:id="rId13" xr:uid="{00000000-0004-0000-0100-00000C000000}"/>
    <hyperlink ref="P34" r:id="rId14" xr:uid="{00000000-0004-0000-0100-00000D000000}"/>
    <hyperlink ref="P35" r:id="rId15" xr:uid="{00000000-0004-0000-0100-00000E000000}"/>
    <hyperlink ref="P36" r:id="rId16" xr:uid="{00000000-0004-0000-0100-00000F000000}"/>
    <hyperlink ref="P37" r:id="rId17" xr:uid="{00000000-0004-0000-0100-000010000000}"/>
    <hyperlink ref="P38" r:id="rId18" xr:uid="{00000000-0004-0000-0100-000011000000}"/>
    <hyperlink ref="P39" r:id="rId19" xr:uid="{00000000-0004-0000-0100-000012000000}"/>
    <hyperlink ref="P40" r:id="rId20" xr:uid="{00000000-0004-0000-0100-000013000000}"/>
    <hyperlink ref="P41" r:id="rId21" xr:uid="{00000000-0004-0000-0100-000014000000}"/>
    <hyperlink ref="P42" r:id="rId22" xr:uid="{00000000-0004-0000-0100-000015000000}"/>
    <hyperlink ref="P43" r:id="rId23" xr:uid="{00000000-0004-0000-0100-000016000000}"/>
    <hyperlink ref="P44" r:id="rId24" xr:uid="{00000000-0004-0000-0100-000017000000}"/>
    <hyperlink ref="P45" r:id="rId25" xr:uid="{00000000-0004-0000-0100-000018000000}"/>
    <hyperlink ref="P46" r:id="rId26" xr:uid="{00000000-0004-0000-0100-000019000000}"/>
    <hyperlink ref="P47" r:id="rId27" xr:uid="{00000000-0004-0000-0100-00001A000000}"/>
    <hyperlink ref="P48" r:id="rId28" xr:uid="{00000000-0004-0000-0100-00001B000000}"/>
    <hyperlink ref="P49" r:id="rId29" xr:uid="{00000000-0004-0000-0100-00001C000000}"/>
    <hyperlink ref="P50" r:id="rId30" xr:uid="{00000000-0004-0000-0100-00001D000000}"/>
    <hyperlink ref="P51" r:id="rId31" xr:uid="{00000000-0004-0000-0100-00001E000000}"/>
    <hyperlink ref="P52" r:id="rId32" xr:uid="{00000000-0004-0000-0100-00001F000000}"/>
    <hyperlink ref="P53" r:id="rId33" xr:uid="{00000000-0004-0000-0100-000020000000}"/>
    <hyperlink ref="P54" r:id="rId34" xr:uid="{00000000-0004-0000-0100-000021000000}"/>
    <hyperlink ref="P55" r:id="rId35" xr:uid="{00000000-0004-0000-0100-000022000000}"/>
    <hyperlink ref="P79" r:id="rId36" xr:uid="{00000000-0004-0000-0100-000023000000}"/>
    <hyperlink ref="P80" r:id="rId37" xr:uid="{00000000-0004-0000-0100-000024000000}"/>
    <hyperlink ref="P81" r:id="rId38" xr:uid="{00000000-0004-0000-0100-000025000000}"/>
    <hyperlink ref="P82" r:id="rId39" xr:uid="{00000000-0004-0000-0100-000026000000}"/>
    <hyperlink ref="P83" r:id="rId40" xr:uid="{00000000-0004-0000-0100-000027000000}"/>
    <hyperlink ref="P84" r:id="rId41" xr:uid="{00000000-0004-0000-0100-000028000000}"/>
    <hyperlink ref="P85" r:id="rId42" xr:uid="{00000000-0004-0000-0100-000029000000}"/>
    <hyperlink ref="P91" r:id="rId43" xr:uid="{00000000-0004-0000-01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2023-01-20T06:29:24Z</dcterms:created>
  <dcterms:modified xsi:type="dcterms:W3CDTF">2025-01-06T04:55:23Z</dcterms:modified>
</cp:coreProperties>
</file>