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E2BF3A7-491E-4B5A-AED4-F70A7EBB17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definedNames>
    <definedName name="solver_adj" localSheetId="0">Active!$E$11:$E$13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Active!$E$14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124" i="1" l="1"/>
  <c r="F124" i="1" s="1"/>
  <c r="Q124" i="1"/>
  <c r="E125" i="1"/>
  <c r="F125" i="1" s="1"/>
  <c r="Q125" i="1"/>
  <c r="E123" i="1"/>
  <c r="F123" i="1" s="1"/>
  <c r="Q123" i="1"/>
  <c r="F4" i="1"/>
  <c r="E122" i="1"/>
  <c r="F122" i="1" s="1"/>
  <c r="Q122" i="1"/>
  <c r="E121" i="1"/>
  <c r="F121" i="1" s="1"/>
  <c r="Q121" i="1"/>
  <c r="Q120" i="1"/>
  <c r="C7" i="1"/>
  <c r="E120" i="1" s="1"/>
  <c r="F120" i="1" s="1"/>
  <c r="C9" i="1"/>
  <c r="D9" i="1"/>
  <c r="D11" i="1"/>
  <c r="D12" i="1"/>
  <c r="D13" i="1"/>
  <c r="C17" i="1"/>
  <c r="Q21" i="1"/>
  <c r="E22" i="1"/>
  <c r="F22" i="1" s="1"/>
  <c r="Q22" i="1"/>
  <c r="Q23" i="1"/>
  <c r="Q24" i="1"/>
  <c r="Q25" i="1"/>
  <c r="E26" i="1"/>
  <c r="E45" i="2" s="1"/>
  <c r="Q26" i="1"/>
  <c r="Q27" i="1"/>
  <c r="E28" i="1"/>
  <c r="F28" i="1" s="1"/>
  <c r="G28" i="1" s="1"/>
  <c r="H28" i="1" s="1"/>
  <c r="Q28" i="1"/>
  <c r="Q29" i="1"/>
  <c r="E30" i="1"/>
  <c r="F30" i="1" s="1"/>
  <c r="Q30" i="1"/>
  <c r="Q31" i="1"/>
  <c r="Q32" i="1"/>
  <c r="E33" i="1"/>
  <c r="F33" i="1" s="1"/>
  <c r="Q33" i="1"/>
  <c r="E34" i="1"/>
  <c r="E53" i="2" s="1"/>
  <c r="Q34" i="1"/>
  <c r="Q35" i="1"/>
  <c r="E36" i="1"/>
  <c r="F36" i="1" s="1"/>
  <c r="G36" i="1" s="1"/>
  <c r="H36" i="1" s="1"/>
  <c r="Q36" i="1"/>
  <c r="E37" i="1"/>
  <c r="F37" i="1" s="1"/>
  <c r="Q37" i="1"/>
  <c r="E38" i="1"/>
  <c r="F38" i="1" s="1"/>
  <c r="Q38" i="1"/>
  <c r="Q39" i="1"/>
  <c r="E40" i="1"/>
  <c r="F40" i="1" s="1"/>
  <c r="G40" i="1" s="1"/>
  <c r="H40" i="1" s="1"/>
  <c r="Q40" i="1"/>
  <c r="E41" i="1"/>
  <c r="F41" i="1" s="1"/>
  <c r="Q41" i="1"/>
  <c r="E42" i="1"/>
  <c r="E61" i="2" s="1"/>
  <c r="Q42" i="1"/>
  <c r="Q43" i="1"/>
  <c r="E44" i="1"/>
  <c r="F44" i="1" s="1"/>
  <c r="G44" i="1" s="1"/>
  <c r="H44" i="1" s="1"/>
  <c r="Q44" i="1"/>
  <c r="E45" i="1"/>
  <c r="F45" i="1" s="1"/>
  <c r="Q45" i="1"/>
  <c r="E46" i="1"/>
  <c r="F46" i="1" s="1"/>
  <c r="G46" i="1" s="1"/>
  <c r="H46" i="1" s="1"/>
  <c r="Q46" i="1"/>
  <c r="Q47" i="1"/>
  <c r="E48" i="1"/>
  <c r="F48" i="1" s="1"/>
  <c r="G48" i="1" s="1"/>
  <c r="H48" i="1" s="1"/>
  <c r="Q48" i="1"/>
  <c r="E49" i="1"/>
  <c r="E68" i="2" s="1"/>
  <c r="Q49" i="1"/>
  <c r="E50" i="1"/>
  <c r="E69" i="2" s="1"/>
  <c r="Q50" i="1"/>
  <c r="E51" i="1"/>
  <c r="F51" i="1" s="1"/>
  <c r="G51" i="1" s="1"/>
  <c r="H51" i="1" s="1"/>
  <c r="Q51" i="1"/>
  <c r="E52" i="1"/>
  <c r="F52" i="1" s="1"/>
  <c r="G52" i="1" s="1"/>
  <c r="H52" i="1" s="1"/>
  <c r="Q52" i="1"/>
  <c r="E53" i="1"/>
  <c r="F53" i="1" s="1"/>
  <c r="G53" i="1" s="1"/>
  <c r="H53" i="1" s="1"/>
  <c r="Q53" i="1"/>
  <c r="E54" i="1"/>
  <c r="F54" i="1" s="1"/>
  <c r="G54" i="1" s="1"/>
  <c r="H54" i="1" s="1"/>
  <c r="Q54" i="1"/>
  <c r="E55" i="1"/>
  <c r="F55" i="1" s="1"/>
  <c r="G55" i="1" s="1"/>
  <c r="H55" i="1" s="1"/>
  <c r="Q55" i="1"/>
  <c r="E56" i="1"/>
  <c r="E75" i="2" s="1"/>
  <c r="Q56" i="1"/>
  <c r="E57" i="1"/>
  <c r="F57" i="1" s="1"/>
  <c r="G57" i="1" s="1"/>
  <c r="H57" i="1" s="1"/>
  <c r="Q57" i="1"/>
  <c r="E58" i="1"/>
  <c r="E77" i="2" s="1"/>
  <c r="Q58" i="1"/>
  <c r="E59" i="1"/>
  <c r="F59" i="1" s="1"/>
  <c r="G59" i="1" s="1"/>
  <c r="H59" i="1" s="1"/>
  <c r="Q59" i="1"/>
  <c r="E60" i="1"/>
  <c r="F60" i="1" s="1"/>
  <c r="G60" i="1" s="1"/>
  <c r="H60" i="1" s="1"/>
  <c r="Q60" i="1"/>
  <c r="E61" i="1"/>
  <c r="F61" i="1" s="1"/>
  <c r="G61" i="1" s="1"/>
  <c r="H61" i="1" s="1"/>
  <c r="Q61" i="1"/>
  <c r="E62" i="1"/>
  <c r="F62" i="1" s="1"/>
  <c r="G62" i="1" s="1"/>
  <c r="H62" i="1" s="1"/>
  <c r="Q62" i="1"/>
  <c r="E63" i="1"/>
  <c r="F63" i="1" s="1"/>
  <c r="G63" i="1" s="1"/>
  <c r="H63" i="1" s="1"/>
  <c r="Q63" i="1"/>
  <c r="E64" i="1"/>
  <c r="F64" i="1" s="1"/>
  <c r="G64" i="1" s="1"/>
  <c r="H64" i="1" s="1"/>
  <c r="Q64" i="1"/>
  <c r="E65" i="1"/>
  <c r="F65" i="1" s="1"/>
  <c r="G65" i="1" s="1"/>
  <c r="H65" i="1" s="1"/>
  <c r="Q65" i="1"/>
  <c r="E66" i="1"/>
  <c r="E85" i="2" s="1"/>
  <c r="Q66" i="1"/>
  <c r="E67" i="1"/>
  <c r="E86" i="2" s="1"/>
  <c r="Q67" i="1"/>
  <c r="E68" i="1"/>
  <c r="F68" i="1" s="1"/>
  <c r="G68" i="1" s="1"/>
  <c r="H68" i="1" s="1"/>
  <c r="Q68" i="1"/>
  <c r="E69" i="1"/>
  <c r="F69" i="1"/>
  <c r="G69" i="1" s="1"/>
  <c r="H69" i="1" s="1"/>
  <c r="Q69" i="1"/>
  <c r="E70" i="1"/>
  <c r="F70" i="1" s="1"/>
  <c r="G70" i="1" s="1"/>
  <c r="H70" i="1" s="1"/>
  <c r="Q70" i="1"/>
  <c r="E71" i="1"/>
  <c r="F71" i="1" s="1"/>
  <c r="G71" i="1" s="1"/>
  <c r="H71" i="1" s="1"/>
  <c r="Q71" i="1"/>
  <c r="E72" i="1"/>
  <c r="F72" i="1" s="1"/>
  <c r="G72" i="1" s="1"/>
  <c r="H72" i="1" s="1"/>
  <c r="Q72" i="1"/>
  <c r="E73" i="1"/>
  <c r="F73" i="1" s="1"/>
  <c r="G73" i="1" s="1"/>
  <c r="I73" i="1" s="1"/>
  <c r="Q73" i="1"/>
  <c r="E74" i="1"/>
  <c r="F74" i="1" s="1"/>
  <c r="G74" i="1" s="1"/>
  <c r="I74" i="1" s="1"/>
  <c r="Q74" i="1"/>
  <c r="E75" i="1"/>
  <c r="E14" i="2" s="1"/>
  <c r="Q75" i="1"/>
  <c r="E76" i="1"/>
  <c r="F76" i="1" s="1"/>
  <c r="G76" i="1" s="1"/>
  <c r="I76" i="1" s="1"/>
  <c r="Q76" i="1"/>
  <c r="E77" i="1"/>
  <c r="E16" i="2" s="1"/>
  <c r="Q77" i="1"/>
  <c r="E78" i="1"/>
  <c r="F78" i="1" s="1"/>
  <c r="G78" i="1" s="1"/>
  <c r="I78" i="1" s="1"/>
  <c r="Q78" i="1"/>
  <c r="E79" i="1"/>
  <c r="F79" i="1" s="1"/>
  <c r="G79" i="1" s="1"/>
  <c r="I79" i="1" s="1"/>
  <c r="Q79" i="1"/>
  <c r="E80" i="1"/>
  <c r="E19" i="2" s="1"/>
  <c r="Q80" i="1"/>
  <c r="E81" i="1"/>
  <c r="F81" i="1" s="1"/>
  <c r="G81" i="1" s="1"/>
  <c r="I81" i="1" s="1"/>
  <c r="Q81" i="1"/>
  <c r="E82" i="1"/>
  <c r="F82" i="1" s="1"/>
  <c r="G82" i="1" s="1"/>
  <c r="I82" i="1" s="1"/>
  <c r="Q82" i="1"/>
  <c r="E83" i="1"/>
  <c r="F83" i="1" s="1"/>
  <c r="G83" i="1" s="1"/>
  <c r="I83" i="1" s="1"/>
  <c r="Q83" i="1"/>
  <c r="E84" i="1"/>
  <c r="F84" i="1" s="1"/>
  <c r="G84" i="1" s="1"/>
  <c r="I84" i="1" s="1"/>
  <c r="Q84" i="1"/>
  <c r="E85" i="1"/>
  <c r="F85" i="1" s="1"/>
  <c r="G85" i="1" s="1"/>
  <c r="I85" i="1" s="1"/>
  <c r="Q85" i="1"/>
  <c r="E86" i="1"/>
  <c r="F86" i="1"/>
  <c r="G86" i="1" s="1"/>
  <c r="I86" i="1" s="1"/>
  <c r="Q86" i="1"/>
  <c r="E87" i="1"/>
  <c r="F87" i="1" s="1"/>
  <c r="Q87" i="1"/>
  <c r="E88" i="1"/>
  <c r="F88" i="1" s="1"/>
  <c r="G88" i="1" s="1"/>
  <c r="I88" i="1" s="1"/>
  <c r="Q88" i="1"/>
  <c r="E89" i="1"/>
  <c r="F89" i="1" s="1"/>
  <c r="G89" i="1" s="1"/>
  <c r="I89" i="1" s="1"/>
  <c r="Q89" i="1"/>
  <c r="E90" i="1"/>
  <c r="F90" i="1" s="1"/>
  <c r="G90" i="1" s="1"/>
  <c r="J90" i="1" s="1"/>
  <c r="Q90" i="1"/>
  <c r="E91" i="1"/>
  <c r="F91" i="1" s="1"/>
  <c r="G91" i="1" s="1"/>
  <c r="J91" i="1" s="1"/>
  <c r="Q91" i="1"/>
  <c r="E92" i="1"/>
  <c r="F92" i="1" s="1"/>
  <c r="G92" i="1" s="1"/>
  <c r="K92" i="1" s="1"/>
  <c r="Q92" i="1"/>
  <c r="E93" i="1"/>
  <c r="F93" i="1" s="1"/>
  <c r="G93" i="1" s="1"/>
  <c r="K93" i="1" s="1"/>
  <c r="Q93" i="1"/>
  <c r="E94" i="1"/>
  <c r="E96" i="2" s="1"/>
  <c r="Q94" i="1"/>
  <c r="E95" i="1"/>
  <c r="F95" i="1" s="1"/>
  <c r="G95" i="1" s="1"/>
  <c r="K95" i="1" s="1"/>
  <c r="Q95" i="1"/>
  <c r="E96" i="1"/>
  <c r="F96" i="1" s="1"/>
  <c r="G96" i="1" s="1"/>
  <c r="K96" i="1" s="1"/>
  <c r="Q96" i="1"/>
  <c r="E97" i="1"/>
  <c r="F97" i="1" s="1"/>
  <c r="G97" i="1" s="1"/>
  <c r="J97" i="1" s="1"/>
  <c r="Q97" i="1"/>
  <c r="E98" i="1"/>
  <c r="F98" i="1" s="1"/>
  <c r="G98" i="1" s="1"/>
  <c r="I98" i="1" s="1"/>
  <c r="Q98" i="1"/>
  <c r="E99" i="1"/>
  <c r="F99" i="1" s="1"/>
  <c r="G99" i="1" s="1"/>
  <c r="K99" i="1" s="1"/>
  <c r="Q99" i="1"/>
  <c r="E100" i="1"/>
  <c r="F100" i="1" s="1"/>
  <c r="G100" i="1" s="1"/>
  <c r="K100" i="1" s="1"/>
  <c r="Q100" i="1"/>
  <c r="E101" i="1"/>
  <c r="F101" i="1" s="1"/>
  <c r="G101" i="1" s="1"/>
  <c r="K101" i="1" s="1"/>
  <c r="Q101" i="1"/>
  <c r="E102" i="1"/>
  <c r="E31" i="2" s="1"/>
  <c r="Q102" i="1"/>
  <c r="E103" i="1"/>
  <c r="F103" i="1" s="1"/>
  <c r="G103" i="1" s="1"/>
  <c r="K103" i="1" s="1"/>
  <c r="Q103" i="1"/>
  <c r="E104" i="1"/>
  <c r="F104" i="1" s="1"/>
  <c r="G104" i="1" s="1"/>
  <c r="K104" i="1" s="1"/>
  <c r="Q104" i="1"/>
  <c r="E105" i="1"/>
  <c r="F105" i="1" s="1"/>
  <c r="G105" i="1" s="1"/>
  <c r="J105" i="1" s="1"/>
  <c r="Q105" i="1"/>
  <c r="E106" i="1"/>
  <c r="F106" i="1" s="1"/>
  <c r="G106" i="1" s="1"/>
  <c r="K106" i="1" s="1"/>
  <c r="Q106" i="1"/>
  <c r="E107" i="1"/>
  <c r="F107" i="1" s="1"/>
  <c r="G107" i="1" s="1"/>
  <c r="K107" i="1" s="1"/>
  <c r="Q107" i="1"/>
  <c r="E108" i="1"/>
  <c r="F108" i="1" s="1"/>
  <c r="G108" i="1" s="1"/>
  <c r="K108" i="1" s="1"/>
  <c r="Q108" i="1"/>
  <c r="E109" i="1"/>
  <c r="F109" i="1" s="1"/>
  <c r="G109" i="1" s="1"/>
  <c r="K109" i="1" s="1"/>
  <c r="Q109" i="1"/>
  <c r="E110" i="1"/>
  <c r="E39" i="2" s="1"/>
  <c r="Q110" i="1"/>
  <c r="E111" i="1"/>
  <c r="F111" i="1" s="1"/>
  <c r="G111" i="1" s="1"/>
  <c r="K111" i="1" s="1"/>
  <c r="Q111" i="1"/>
  <c r="E112" i="1"/>
  <c r="F112" i="1" s="1"/>
  <c r="G112" i="1" s="1"/>
  <c r="J112" i="1" s="1"/>
  <c r="Q112" i="1"/>
  <c r="E113" i="1"/>
  <c r="F113" i="1" s="1"/>
  <c r="G113" i="1" s="1"/>
  <c r="K113" i="1" s="1"/>
  <c r="Q113" i="1"/>
  <c r="E114" i="1"/>
  <c r="F114" i="1" s="1"/>
  <c r="G114" i="1" s="1"/>
  <c r="K114" i="1" s="1"/>
  <c r="Q114" i="1"/>
  <c r="E115" i="1"/>
  <c r="F115" i="1" s="1"/>
  <c r="G115" i="1" s="1"/>
  <c r="K115" i="1" s="1"/>
  <c r="Q115" i="1"/>
  <c r="E116" i="1"/>
  <c r="F116" i="1" s="1"/>
  <c r="G116" i="1" s="1"/>
  <c r="K116" i="1" s="1"/>
  <c r="Q116" i="1"/>
  <c r="E117" i="1"/>
  <c r="F117" i="1" s="1"/>
  <c r="G117" i="1" s="1"/>
  <c r="K117" i="1" s="1"/>
  <c r="Q117" i="1"/>
  <c r="E118" i="1"/>
  <c r="F118" i="1" s="1"/>
  <c r="G118" i="1" s="1"/>
  <c r="K118" i="1" s="1"/>
  <c r="Q118" i="1"/>
  <c r="E119" i="1"/>
  <c r="F119" i="1" s="1"/>
  <c r="G119" i="1" s="1"/>
  <c r="K119" i="1" s="1"/>
  <c r="Q119" i="1"/>
  <c r="A11" i="2"/>
  <c r="D11" i="2"/>
  <c r="G11" i="2"/>
  <c r="C11" i="2"/>
  <c r="H11" i="2"/>
  <c r="B11" i="2"/>
  <c r="A12" i="2"/>
  <c r="D12" i="2"/>
  <c r="G12" i="2"/>
  <c r="C12" i="2"/>
  <c r="E12" i="2"/>
  <c r="H12" i="2"/>
  <c r="B12" i="2"/>
  <c r="A13" i="2"/>
  <c r="C13" i="2"/>
  <c r="D13" i="2"/>
  <c r="G13" i="2"/>
  <c r="H13" i="2"/>
  <c r="B13" i="2"/>
  <c r="A14" i="2"/>
  <c r="C14" i="2"/>
  <c r="D14" i="2"/>
  <c r="G14" i="2"/>
  <c r="H14" i="2"/>
  <c r="B14" i="2"/>
  <c r="A15" i="2"/>
  <c r="B15" i="2"/>
  <c r="D15" i="2"/>
  <c r="G15" i="2"/>
  <c r="C15" i="2"/>
  <c r="H15" i="2"/>
  <c r="A16" i="2"/>
  <c r="B16" i="2"/>
  <c r="D16" i="2"/>
  <c r="G16" i="2"/>
  <c r="C16" i="2"/>
  <c r="H16" i="2"/>
  <c r="A17" i="2"/>
  <c r="D17" i="2"/>
  <c r="G17" i="2"/>
  <c r="C17" i="2"/>
  <c r="H17" i="2"/>
  <c r="B17" i="2"/>
  <c r="A18" i="2"/>
  <c r="B18" i="2"/>
  <c r="C18" i="2"/>
  <c r="D18" i="2"/>
  <c r="G18" i="2"/>
  <c r="H18" i="2"/>
  <c r="A19" i="2"/>
  <c r="B19" i="2"/>
  <c r="C19" i="2"/>
  <c r="D19" i="2"/>
  <c r="G19" i="2"/>
  <c r="H19" i="2"/>
  <c r="A20" i="2"/>
  <c r="B20" i="2"/>
  <c r="D20" i="2"/>
  <c r="E20" i="2"/>
  <c r="G20" i="2"/>
  <c r="C20" i="2"/>
  <c r="H20" i="2"/>
  <c r="A21" i="2"/>
  <c r="D21" i="2"/>
  <c r="G21" i="2"/>
  <c r="C21" i="2"/>
  <c r="E21" i="2"/>
  <c r="H21" i="2"/>
  <c r="B21" i="2"/>
  <c r="A22" i="2"/>
  <c r="D22" i="2"/>
  <c r="G22" i="2"/>
  <c r="C22" i="2"/>
  <c r="H22" i="2"/>
  <c r="B22" i="2"/>
  <c r="A23" i="2"/>
  <c r="D23" i="2"/>
  <c r="E23" i="2"/>
  <c r="G23" i="2"/>
  <c r="C23" i="2"/>
  <c r="H23" i="2"/>
  <c r="B23" i="2"/>
  <c r="A24" i="2"/>
  <c r="B24" i="2"/>
  <c r="C24" i="2"/>
  <c r="E24" i="2"/>
  <c r="D24" i="2"/>
  <c r="G24" i="2"/>
  <c r="H24" i="2"/>
  <c r="A25" i="2"/>
  <c r="C25" i="2"/>
  <c r="D25" i="2"/>
  <c r="F25" i="2"/>
  <c r="G25" i="2"/>
  <c r="H25" i="2"/>
  <c r="B25" i="2"/>
  <c r="A26" i="2"/>
  <c r="B26" i="2"/>
  <c r="F26" i="2"/>
  <c r="D26" i="2"/>
  <c r="G26" i="2"/>
  <c r="C26" i="2"/>
  <c r="E26" i="2"/>
  <c r="H26" i="2"/>
  <c r="A27" i="2"/>
  <c r="F27" i="2"/>
  <c r="D27" i="2"/>
  <c r="G27" i="2"/>
  <c r="C27" i="2"/>
  <c r="E27" i="2"/>
  <c r="H27" i="2"/>
  <c r="B27" i="2"/>
  <c r="A28" i="2"/>
  <c r="D28" i="2"/>
  <c r="G28" i="2"/>
  <c r="C28" i="2"/>
  <c r="H28" i="2"/>
  <c r="B28" i="2"/>
  <c r="A29" i="2"/>
  <c r="C29" i="2"/>
  <c r="D29" i="2"/>
  <c r="G29" i="2"/>
  <c r="H29" i="2"/>
  <c r="B29" i="2"/>
  <c r="A30" i="2"/>
  <c r="B30" i="2"/>
  <c r="D30" i="2"/>
  <c r="G30" i="2"/>
  <c r="C30" i="2"/>
  <c r="E30" i="2"/>
  <c r="H30" i="2"/>
  <c r="A31" i="2"/>
  <c r="B31" i="2"/>
  <c r="C31" i="2"/>
  <c r="D31" i="2"/>
  <c r="G31" i="2"/>
  <c r="H31" i="2"/>
  <c r="A32" i="2"/>
  <c r="B32" i="2"/>
  <c r="C32" i="2"/>
  <c r="E32" i="2"/>
  <c r="D32" i="2"/>
  <c r="G32" i="2"/>
  <c r="H32" i="2"/>
  <c r="A33" i="2"/>
  <c r="C33" i="2"/>
  <c r="D33" i="2"/>
  <c r="G33" i="2"/>
  <c r="H33" i="2"/>
  <c r="B33" i="2"/>
  <c r="A34" i="2"/>
  <c r="B34" i="2"/>
  <c r="D34" i="2"/>
  <c r="G34" i="2"/>
  <c r="C34" i="2"/>
  <c r="E34" i="2"/>
  <c r="H34" i="2"/>
  <c r="A35" i="2"/>
  <c r="D35" i="2"/>
  <c r="G35" i="2"/>
  <c r="C35" i="2"/>
  <c r="E35" i="2"/>
  <c r="H35" i="2"/>
  <c r="B35" i="2"/>
  <c r="A36" i="2"/>
  <c r="D36" i="2"/>
  <c r="G36" i="2"/>
  <c r="C36" i="2"/>
  <c r="H36" i="2"/>
  <c r="B36" i="2"/>
  <c r="A37" i="2"/>
  <c r="C37" i="2"/>
  <c r="D37" i="2"/>
  <c r="G37" i="2"/>
  <c r="H37" i="2"/>
  <c r="B37" i="2"/>
  <c r="A38" i="2"/>
  <c r="B38" i="2"/>
  <c r="D38" i="2"/>
  <c r="G38" i="2"/>
  <c r="C38" i="2"/>
  <c r="H38" i="2"/>
  <c r="A39" i="2"/>
  <c r="B39" i="2"/>
  <c r="C39" i="2"/>
  <c r="D39" i="2"/>
  <c r="G39" i="2"/>
  <c r="H39" i="2"/>
  <c r="A40" i="2"/>
  <c r="B40" i="2"/>
  <c r="C40" i="2"/>
  <c r="D40" i="2"/>
  <c r="G40" i="2"/>
  <c r="H40" i="2"/>
  <c r="A41" i="2"/>
  <c r="C41" i="2"/>
  <c r="D41" i="2"/>
  <c r="G41" i="2"/>
  <c r="H41" i="2"/>
  <c r="B41" i="2"/>
  <c r="A42" i="2"/>
  <c r="B42" i="2"/>
  <c r="D42" i="2"/>
  <c r="G42" i="2"/>
  <c r="C42" i="2"/>
  <c r="H42" i="2"/>
  <c r="A43" i="2"/>
  <c r="D43" i="2"/>
  <c r="G43" i="2"/>
  <c r="C43" i="2"/>
  <c r="H43" i="2"/>
  <c r="B43" i="2"/>
  <c r="A44" i="2"/>
  <c r="D44" i="2"/>
  <c r="G44" i="2"/>
  <c r="C44" i="2"/>
  <c r="H44" i="2"/>
  <c r="B44" i="2"/>
  <c r="A45" i="2"/>
  <c r="C45" i="2"/>
  <c r="D45" i="2"/>
  <c r="G45" i="2"/>
  <c r="H45" i="2"/>
  <c r="B45" i="2"/>
  <c r="A46" i="2"/>
  <c r="B46" i="2"/>
  <c r="D46" i="2"/>
  <c r="G46" i="2"/>
  <c r="C46" i="2"/>
  <c r="H46" i="2"/>
  <c r="A47" i="2"/>
  <c r="B47" i="2"/>
  <c r="C47" i="2"/>
  <c r="D47" i="2"/>
  <c r="G47" i="2"/>
  <c r="H47" i="2"/>
  <c r="A48" i="2"/>
  <c r="B48" i="2"/>
  <c r="C48" i="2"/>
  <c r="D48" i="2"/>
  <c r="G48" i="2"/>
  <c r="H48" i="2"/>
  <c r="A49" i="2"/>
  <c r="C49" i="2"/>
  <c r="E49" i="2"/>
  <c r="D49" i="2"/>
  <c r="G49" i="2"/>
  <c r="H49" i="2"/>
  <c r="B49" i="2"/>
  <c r="A50" i="2"/>
  <c r="B50" i="2"/>
  <c r="D50" i="2"/>
  <c r="G50" i="2"/>
  <c r="C50" i="2"/>
  <c r="H50" i="2"/>
  <c r="A51" i="2"/>
  <c r="D51" i="2"/>
  <c r="G51" i="2"/>
  <c r="C51" i="2"/>
  <c r="H51" i="2"/>
  <c r="B51" i="2"/>
  <c r="A52" i="2"/>
  <c r="D52" i="2"/>
  <c r="G52" i="2"/>
  <c r="C52" i="2"/>
  <c r="H52" i="2"/>
  <c r="B52" i="2"/>
  <c r="A53" i="2"/>
  <c r="C53" i="2"/>
  <c r="D53" i="2"/>
  <c r="G53" i="2"/>
  <c r="H53" i="2"/>
  <c r="B53" i="2"/>
  <c r="A54" i="2"/>
  <c r="B54" i="2"/>
  <c r="D54" i="2"/>
  <c r="G54" i="2"/>
  <c r="C54" i="2"/>
  <c r="H54" i="2"/>
  <c r="A55" i="2"/>
  <c r="B55" i="2"/>
  <c r="C55" i="2"/>
  <c r="D55" i="2"/>
  <c r="E55" i="2"/>
  <c r="G55" i="2"/>
  <c r="H55" i="2"/>
  <c r="A56" i="2"/>
  <c r="B56" i="2"/>
  <c r="C56" i="2"/>
  <c r="D56" i="2"/>
  <c r="G56" i="2"/>
  <c r="H56" i="2"/>
  <c r="A57" i="2"/>
  <c r="C57" i="2"/>
  <c r="E57" i="2"/>
  <c r="D57" i="2"/>
  <c r="G57" i="2"/>
  <c r="H57" i="2"/>
  <c r="B57" i="2"/>
  <c r="A58" i="2"/>
  <c r="B58" i="2"/>
  <c r="D58" i="2"/>
  <c r="G58" i="2"/>
  <c r="C58" i="2"/>
  <c r="H58" i="2"/>
  <c r="A59" i="2"/>
  <c r="D59" i="2"/>
  <c r="G59" i="2"/>
  <c r="C59" i="2"/>
  <c r="E59" i="2"/>
  <c r="H59" i="2"/>
  <c r="B59" i="2"/>
  <c r="A60" i="2"/>
  <c r="D60" i="2"/>
  <c r="G60" i="2"/>
  <c r="C60" i="2"/>
  <c r="H60" i="2"/>
  <c r="B60" i="2"/>
  <c r="A61" i="2"/>
  <c r="C61" i="2"/>
  <c r="D61" i="2"/>
  <c r="G61" i="2"/>
  <c r="H61" i="2"/>
  <c r="B61" i="2"/>
  <c r="A62" i="2"/>
  <c r="B62" i="2"/>
  <c r="D62" i="2"/>
  <c r="G62" i="2"/>
  <c r="C62" i="2"/>
  <c r="H62" i="2"/>
  <c r="A63" i="2"/>
  <c r="B63" i="2"/>
  <c r="C63" i="2"/>
  <c r="D63" i="2"/>
  <c r="E63" i="2"/>
  <c r="G63" i="2"/>
  <c r="H63" i="2"/>
  <c r="A64" i="2"/>
  <c r="B64" i="2"/>
  <c r="C64" i="2"/>
  <c r="D64" i="2"/>
  <c r="G64" i="2"/>
  <c r="H64" i="2"/>
  <c r="A65" i="2"/>
  <c r="C65" i="2"/>
  <c r="E65" i="2"/>
  <c r="D65" i="2"/>
  <c r="G65" i="2"/>
  <c r="H65" i="2"/>
  <c r="B65" i="2"/>
  <c r="A66" i="2"/>
  <c r="B66" i="2"/>
  <c r="D66" i="2"/>
  <c r="G66" i="2"/>
  <c r="C66" i="2"/>
  <c r="H66" i="2"/>
  <c r="A67" i="2"/>
  <c r="D67" i="2"/>
  <c r="G67" i="2"/>
  <c r="C67" i="2"/>
  <c r="E67" i="2"/>
  <c r="H67" i="2"/>
  <c r="B67" i="2"/>
  <c r="A68" i="2"/>
  <c r="D68" i="2"/>
  <c r="G68" i="2"/>
  <c r="C68" i="2"/>
  <c r="H68" i="2"/>
  <c r="B68" i="2"/>
  <c r="A69" i="2"/>
  <c r="C69" i="2"/>
  <c r="D69" i="2"/>
  <c r="G69" i="2"/>
  <c r="H69" i="2"/>
  <c r="B69" i="2"/>
  <c r="A70" i="2"/>
  <c r="B70" i="2"/>
  <c r="D70" i="2"/>
  <c r="G70" i="2"/>
  <c r="C70" i="2"/>
  <c r="H70" i="2"/>
  <c r="A71" i="2"/>
  <c r="B71" i="2"/>
  <c r="C71" i="2"/>
  <c r="D71" i="2"/>
  <c r="E71" i="2"/>
  <c r="G71" i="2"/>
  <c r="H71" i="2"/>
  <c r="A72" i="2"/>
  <c r="B72" i="2"/>
  <c r="C72" i="2"/>
  <c r="D72" i="2"/>
  <c r="G72" i="2"/>
  <c r="H72" i="2"/>
  <c r="A73" i="2"/>
  <c r="C73" i="2"/>
  <c r="E73" i="2"/>
  <c r="D73" i="2"/>
  <c r="G73" i="2"/>
  <c r="H73" i="2"/>
  <c r="B73" i="2"/>
  <c r="A74" i="2"/>
  <c r="B74" i="2"/>
  <c r="D74" i="2"/>
  <c r="G74" i="2"/>
  <c r="C74" i="2"/>
  <c r="H74" i="2"/>
  <c r="A75" i="2"/>
  <c r="D75" i="2"/>
  <c r="G75" i="2"/>
  <c r="C75" i="2"/>
  <c r="H75" i="2"/>
  <c r="B75" i="2"/>
  <c r="A76" i="2"/>
  <c r="D76" i="2"/>
  <c r="G76" i="2"/>
  <c r="C76" i="2"/>
  <c r="E76" i="2"/>
  <c r="H76" i="2"/>
  <c r="B76" i="2"/>
  <c r="A77" i="2"/>
  <c r="C77" i="2"/>
  <c r="D77" i="2"/>
  <c r="G77" i="2"/>
  <c r="H77" i="2"/>
  <c r="B77" i="2"/>
  <c r="A78" i="2"/>
  <c r="B78" i="2"/>
  <c r="D78" i="2"/>
  <c r="G78" i="2"/>
  <c r="C78" i="2"/>
  <c r="H78" i="2"/>
  <c r="A79" i="2"/>
  <c r="B79" i="2"/>
  <c r="C79" i="2"/>
  <c r="D79" i="2"/>
  <c r="E79" i="2"/>
  <c r="G79" i="2"/>
  <c r="H79" i="2"/>
  <c r="A80" i="2"/>
  <c r="B80" i="2"/>
  <c r="C80" i="2"/>
  <c r="E80" i="2"/>
  <c r="D80" i="2"/>
  <c r="G80" i="2"/>
  <c r="H80" i="2"/>
  <c r="A81" i="2"/>
  <c r="C81" i="2"/>
  <c r="E81" i="2"/>
  <c r="D81" i="2"/>
  <c r="G81" i="2"/>
  <c r="H81" i="2"/>
  <c r="B81" i="2"/>
  <c r="A82" i="2"/>
  <c r="B82" i="2"/>
  <c r="D82" i="2"/>
  <c r="G82" i="2"/>
  <c r="C82" i="2"/>
  <c r="E82" i="2"/>
  <c r="H82" i="2"/>
  <c r="A83" i="2"/>
  <c r="D83" i="2"/>
  <c r="G83" i="2"/>
  <c r="C83" i="2"/>
  <c r="H83" i="2"/>
  <c r="B83" i="2"/>
  <c r="A84" i="2"/>
  <c r="D84" i="2"/>
  <c r="G84" i="2"/>
  <c r="C84" i="2"/>
  <c r="E84" i="2"/>
  <c r="H84" i="2"/>
  <c r="B84" i="2"/>
  <c r="A85" i="2"/>
  <c r="C85" i="2"/>
  <c r="D85" i="2"/>
  <c r="G85" i="2"/>
  <c r="H85" i="2"/>
  <c r="B85" i="2"/>
  <c r="A86" i="2"/>
  <c r="B86" i="2"/>
  <c r="D86" i="2"/>
  <c r="G86" i="2"/>
  <c r="C86" i="2"/>
  <c r="H86" i="2"/>
  <c r="A87" i="2"/>
  <c r="B87" i="2"/>
  <c r="C87" i="2"/>
  <c r="D87" i="2"/>
  <c r="G87" i="2"/>
  <c r="H87" i="2"/>
  <c r="A88" i="2"/>
  <c r="B88" i="2"/>
  <c r="C88" i="2"/>
  <c r="E88" i="2"/>
  <c r="D88" i="2"/>
  <c r="G88" i="2"/>
  <c r="H88" i="2"/>
  <c r="A89" i="2"/>
  <c r="C89" i="2"/>
  <c r="D89" i="2"/>
  <c r="G89" i="2"/>
  <c r="H89" i="2"/>
  <c r="B89" i="2"/>
  <c r="A90" i="2"/>
  <c r="B90" i="2"/>
  <c r="D90" i="2"/>
  <c r="G90" i="2"/>
  <c r="C90" i="2"/>
  <c r="E90" i="2"/>
  <c r="H90" i="2"/>
  <c r="A91" i="2"/>
  <c r="D91" i="2"/>
  <c r="G91" i="2"/>
  <c r="C91" i="2"/>
  <c r="E91" i="2"/>
  <c r="H91" i="2"/>
  <c r="B91" i="2"/>
  <c r="A92" i="2"/>
  <c r="D92" i="2"/>
  <c r="G92" i="2"/>
  <c r="C92" i="2"/>
  <c r="E92" i="2"/>
  <c r="H92" i="2"/>
  <c r="B92" i="2"/>
  <c r="A93" i="2"/>
  <c r="C93" i="2"/>
  <c r="D93" i="2"/>
  <c r="G93" i="2"/>
  <c r="H93" i="2"/>
  <c r="B93" i="2"/>
  <c r="A94" i="2"/>
  <c r="F94" i="2"/>
  <c r="D94" i="2"/>
  <c r="G94" i="2"/>
  <c r="C94" i="2"/>
  <c r="H94" i="2"/>
  <c r="B94" i="2"/>
  <c r="A95" i="2"/>
  <c r="F95" i="2"/>
  <c r="D95" i="2"/>
  <c r="G95" i="2"/>
  <c r="C95" i="2"/>
  <c r="H95" i="2"/>
  <c r="B95" i="2"/>
  <c r="A96" i="2"/>
  <c r="B96" i="2"/>
  <c r="D96" i="2"/>
  <c r="G96" i="2"/>
  <c r="C96" i="2"/>
  <c r="H96" i="2"/>
  <c r="A97" i="2"/>
  <c r="B97" i="2"/>
  <c r="C97" i="2"/>
  <c r="D97" i="2"/>
  <c r="E97" i="2"/>
  <c r="G97" i="2"/>
  <c r="H97" i="2"/>
  <c r="A98" i="2"/>
  <c r="B98" i="2"/>
  <c r="C98" i="2"/>
  <c r="D98" i="2"/>
  <c r="G98" i="2"/>
  <c r="H98" i="2"/>
  <c r="A99" i="2"/>
  <c r="C99" i="2"/>
  <c r="E99" i="2"/>
  <c r="D99" i="2"/>
  <c r="G99" i="2"/>
  <c r="H99" i="2"/>
  <c r="B99" i="2"/>
  <c r="A100" i="2"/>
  <c r="B100" i="2"/>
  <c r="D100" i="2"/>
  <c r="G100" i="2"/>
  <c r="C100" i="2"/>
  <c r="E100" i="2"/>
  <c r="H100" i="2"/>
  <c r="A101" i="2"/>
  <c r="D101" i="2"/>
  <c r="G101" i="2"/>
  <c r="C101" i="2"/>
  <c r="E101" i="2"/>
  <c r="H101" i="2"/>
  <c r="B101" i="2"/>
  <c r="A102" i="2"/>
  <c r="D102" i="2"/>
  <c r="G102" i="2"/>
  <c r="C102" i="2"/>
  <c r="E102" i="2"/>
  <c r="H102" i="2"/>
  <c r="B102" i="2"/>
  <c r="E24" i="1"/>
  <c r="E43" i="2" s="1"/>
  <c r="G125" i="1" l="1"/>
  <c r="K125" i="1" s="1"/>
  <c r="P125" i="1"/>
  <c r="G124" i="1"/>
  <c r="K124" i="1" s="1"/>
  <c r="P124" i="1"/>
  <c r="S124" i="1" s="1"/>
  <c r="E74" i="2"/>
  <c r="E89" i="2"/>
  <c r="E13" i="2"/>
  <c r="E95" i="2"/>
  <c r="E94" i="2"/>
  <c r="E17" i="2"/>
  <c r="E18" i="2"/>
  <c r="E72" i="2"/>
  <c r="E56" i="2"/>
  <c r="E98" i="2"/>
  <c r="E52" i="2"/>
  <c r="E87" i="2"/>
  <c r="E64" i="2"/>
  <c r="E36" i="2"/>
  <c r="E83" i="2"/>
  <c r="E60" i="2"/>
  <c r="G123" i="1"/>
  <c r="K123" i="1" s="1"/>
  <c r="P123" i="1"/>
  <c r="E29" i="2"/>
  <c r="F56" i="1"/>
  <c r="G56" i="1" s="1"/>
  <c r="H56" i="1" s="1"/>
  <c r="F49" i="1"/>
  <c r="P49" i="1" s="1"/>
  <c r="E38" i="2"/>
  <c r="E78" i="2"/>
  <c r="E25" i="2"/>
  <c r="E70" i="2"/>
  <c r="E47" i="2"/>
  <c r="E37" i="2"/>
  <c r="E15" i="2"/>
  <c r="F75" i="1"/>
  <c r="G75" i="1" s="1"/>
  <c r="I75" i="1" s="1"/>
  <c r="F67" i="1"/>
  <c r="G67" i="1" s="1"/>
  <c r="H67" i="1" s="1"/>
  <c r="E22" i="2"/>
  <c r="E93" i="2"/>
  <c r="E40" i="2"/>
  <c r="E33" i="2"/>
  <c r="E28" i="2"/>
  <c r="E11" i="2"/>
  <c r="F5" i="1"/>
  <c r="G122" i="1"/>
  <c r="K122" i="1" s="1"/>
  <c r="P122" i="1"/>
  <c r="G121" i="1"/>
  <c r="K121" i="1" s="1"/>
  <c r="P121" i="1"/>
  <c r="W14" i="1"/>
  <c r="P87" i="1"/>
  <c r="G87" i="1"/>
  <c r="I87" i="1" s="1"/>
  <c r="P82" i="1"/>
  <c r="S82" i="1" s="1"/>
  <c r="F24" i="1"/>
  <c r="G24" i="1" s="1"/>
  <c r="H24" i="1" s="1"/>
  <c r="F110" i="1"/>
  <c r="G110" i="1" s="1"/>
  <c r="K110" i="1" s="1"/>
  <c r="F102" i="1"/>
  <c r="G102" i="1" s="1"/>
  <c r="K102" i="1" s="1"/>
  <c r="F94" i="1"/>
  <c r="G94" i="1" s="1"/>
  <c r="K94" i="1" s="1"/>
  <c r="F80" i="1"/>
  <c r="G80" i="1" s="1"/>
  <c r="I80" i="1" s="1"/>
  <c r="P78" i="1"/>
  <c r="S78" i="1" s="1"/>
  <c r="F77" i="1"/>
  <c r="G77" i="1" s="1"/>
  <c r="I77" i="1" s="1"/>
  <c r="F66" i="1"/>
  <c r="G66" i="1" s="1"/>
  <c r="H66" i="1" s="1"/>
  <c r="F58" i="1"/>
  <c r="G58" i="1" s="1"/>
  <c r="H58" i="1" s="1"/>
  <c r="F50" i="1"/>
  <c r="G50" i="1" s="1"/>
  <c r="H50" i="1" s="1"/>
  <c r="E47" i="1"/>
  <c r="G45" i="1"/>
  <c r="H45" i="1" s="1"/>
  <c r="F42" i="1"/>
  <c r="G42" i="1" s="1"/>
  <c r="H42" i="1" s="1"/>
  <c r="E39" i="1"/>
  <c r="G37" i="1"/>
  <c r="H37" i="1" s="1"/>
  <c r="F34" i="1"/>
  <c r="G34" i="1" s="1"/>
  <c r="H34" i="1" s="1"/>
  <c r="E31" i="1"/>
  <c r="F26" i="1"/>
  <c r="G26" i="1" s="1"/>
  <c r="H26" i="1" s="1"/>
  <c r="P96" i="1"/>
  <c r="S96" i="1" s="1"/>
  <c r="E29" i="1"/>
  <c r="G38" i="1"/>
  <c r="H38" i="1" s="1"/>
  <c r="E32" i="1"/>
  <c r="G30" i="1"/>
  <c r="H30" i="1" s="1"/>
  <c r="G49" i="1"/>
  <c r="H49" i="1" s="1"/>
  <c r="E43" i="1"/>
  <c r="G41" i="1"/>
  <c r="H41" i="1" s="1"/>
  <c r="E35" i="1"/>
  <c r="G33" i="1"/>
  <c r="H33" i="1" s="1"/>
  <c r="E27" i="1"/>
  <c r="E23" i="1"/>
  <c r="E21" i="1"/>
  <c r="P75" i="1"/>
  <c r="S75" i="1" s="1"/>
  <c r="P76" i="1"/>
  <c r="S76" i="1" s="1"/>
  <c r="P44" i="1"/>
  <c r="S44" i="1" s="1"/>
  <c r="W10" i="1"/>
  <c r="P105" i="1"/>
  <c r="S105" i="1" s="1"/>
  <c r="P85" i="1"/>
  <c r="S85" i="1" s="1"/>
  <c r="E25" i="1"/>
  <c r="P72" i="1"/>
  <c r="S72" i="1" s="1"/>
  <c r="G120" i="1"/>
  <c r="K120" i="1" s="1"/>
  <c r="P120" i="1"/>
  <c r="P26" i="1"/>
  <c r="S26" i="1" s="1"/>
  <c r="P118" i="1"/>
  <c r="S118" i="1" s="1"/>
  <c r="W16" i="1"/>
  <c r="P53" i="1"/>
  <c r="S53" i="1" s="1"/>
  <c r="W13" i="1"/>
  <c r="P30" i="1"/>
  <c r="S30" i="1" s="1"/>
  <c r="P71" i="1"/>
  <c r="S71" i="1" s="1"/>
  <c r="P40" i="1"/>
  <c r="S40" i="1" s="1"/>
  <c r="P65" i="1"/>
  <c r="S65" i="1" s="1"/>
  <c r="P33" i="1"/>
  <c r="P95" i="1"/>
  <c r="S95" i="1" s="1"/>
  <c r="P86" i="1"/>
  <c r="S86" i="1" s="1"/>
  <c r="P84" i="1"/>
  <c r="S84" i="1" s="1"/>
  <c r="P74" i="1"/>
  <c r="S74" i="1" s="1"/>
  <c r="P77" i="1"/>
  <c r="S77" i="1" s="1"/>
  <c r="P45" i="1"/>
  <c r="P63" i="1"/>
  <c r="S63" i="1" s="1"/>
  <c r="P57" i="1"/>
  <c r="S57" i="1" s="1"/>
  <c r="P88" i="1"/>
  <c r="S88" i="1" s="1"/>
  <c r="P54" i="1"/>
  <c r="S54" i="1" s="1"/>
  <c r="P51" i="1"/>
  <c r="S51" i="1" s="1"/>
  <c r="P106" i="1"/>
  <c r="S106" i="1" s="1"/>
  <c r="P22" i="1"/>
  <c r="S22" i="1" s="1"/>
  <c r="P81" i="1"/>
  <c r="S81" i="1" s="1"/>
  <c r="P68" i="1"/>
  <c r="S68" i="1" s="1"/>
  <c r="P36" i="1"/>
  <c r="S36" i="1" s="1"/>
  <c r="W9" i="1"/>
  <c r="W15" i="1"/>
  <c r="W19" i="1"/>
  <c r="P109" i="1"/>
  <c r="S109" i="1" s="1"/>
  <c r="P90" i="1"/>
  <c r="S90" i="1" s="1"/>
  <c r="P42" i="1"/>
  <c r="S42" i="1" s="1"/>
  <c r="W6" i="1"/>
  <c r="P69" i="1"/>
  <c r="S69" i="1" s="1"/>
  <c r="P37" i="1"/>
  <c r="S37" i="1" s="1"/>
  <c r="P46" i="1"/>
  <c r="S46" i="1" s="1"/>
  <c r="W5" i="1"/>
  <c r="P55" i="1"/>
  <c r="S55" i="1" s="1"/>
  <c r="W3" i="1"/>
  <c r="W17" i="1"/>
  <c r="P104" i="1"/>
  <c r="S104" i="1" s="1"/>
  <c r="P91" i="1"/>
  <c r="S91" i="1" s="1"/>
  <c r="P70" i="1"/>
  <c r="S70" i="1" s="1"/>
  <c r="P64" i="1"/>
  <c r="S64" i="1" s="1"/>
  <c r="P59" i="1"/>
  <c r="S59" i="1" s="1"/>
  <c r="P89" i="1"/>
  <c r="S89" i="1" s="1"/>
  <c r="P60" i="1"/>
  <c r="S60" i="1" s="1"/>
  <c r="P28" i="1"/>
  <c r="S28" i="1" s="1"/>
  <c r="W12" i="1"/>
  <c r="W8" i="1"/>
  <c r="P97" i="1"/>
  <c r="S97" i="1" s="1"/>
  <c r="P113" i="1"/>
  <c r="S113" i="1" s="1"/>
  <c r="P48" i="1"/>
  <c r="S48" i="1" s="1"/>
  <c r="P112" i="1"/>
  <c r="S112" i="1" s="1"/>
  <c r="P108" i="1"/>
  <c r="S108" i="1" s="1"/>
  <c r="P103" i="1"/>
  <c r="S103" i="1" s="1"/>
  <c r="P100" i="1"/>
  <c r="S100" i="1" s="1"/>
  <c r="P98" i="1"/>
  <c r="S98" i="1" s="1"/>
  <c r="P92" i="1"/>
  <c r="S92" i="1" s="1"/>
  <c r="P61" i="1"/>
  <c r="S61" i="1" s="1"/>
  <c r="P79" i="1"/>
  <c r="S79" i="1" s="1"/>
  <c r="W4" i="1"/>
  <c r="P73" i="1"/>
  <c r="S73" i="1" s="1"/>
  <c r="P41" i="1"/>
  <c r="W2" i="1"/>
  <c r="P116" i="1"/>
  <c r="S116" i="1" s="1"/>
  <c r="P111" i="1"/>
  <c r="S111" i="1" s="1"/>
  <c r="P107" i="1"/>
  <c r="S107" i="1" s="1"/>
  <c r="P99" i="1"/>
  <c r="S99" i="1" s="1"/>
  <c r="P93" i="1"/>
  <c r="S93" i="1" s="1"/>
  <c r="P80" i="1"/>
  <c r="S80" i="1" s="1"/>
  <c r="W7" i="1"/>
  <c r="P114" i="1"/>
  <c r="S114" i="1" s="1"/>
  <c r="P38" i="1"/>
  <c r="W11" i="1"/>
  <c r="P52" i="1"/>
  <c r="S52" i="1" s="1"/>
  <c r="W18" i="1"/>
  <c r="P101" i="1"/>
  <c r="S101" i="1" s="1"/>
  <c r="P117" i="1"/>
  <c r="S117" i="1" s="1"/>
  <c r="P119" i="1"/>
  <c r="S119" i="1" s="1"/>
  <c r="P115" i="1"/>
  <c r="S115" i="1" s="1"/>
  <c r="P83" i="1"/>
  <c r="S83" i="1" s="1"/>
  <c r="P62" i="1"/>
  <c r="S62" i="1" s="1"/>
  <c r="P56" i="1"/>
  <c r="S56" i="1" s="1"/>
  <c r="C12" i="1"/>
  <c r="C11" i="1"/>
  <c r="O124" i="1" l="1"/>
  <c r="O125" i="1"/>
  <c r="S125" i="1"/>
  <c r="S87" i="1"/>
  <c r="S123" i="1"/>
  <c r="P34" i="1"/>
  <c r="S34" i="1" s="1"/>
  <c r="S121" i="1"/>
  <c r="P66" i="1"/>
  <c r="S66" i="1" s="1"/>
  <c r="O123" i="1"/>
  <c r="S122" i="1"/>
  <c r="S33" i="1"/>
  <c r="S45" i="1"/>
  <c r="P67" i="1"/>
  <c r="S67" i="1" s="1"/>
  <c r="P102" i="1"/>
  <c r="S102" i="1" s="1"/>
  <c r="P110" i="1"/>
  <c r="S110" i="1" s="1"/>
  <c r="P50" i="1"/>
  <c r="S50" i="1" s="1"/>
  <c r="S49" i="1"/>
  <c r="O122" i="1"/>
  <c r="O121" i="1"/>
  <c r="S38" i="1"/>
  <c r="P58" i="1"/>
  <c r="S58" i="1" s="1"/>
  <c r="F43" i="1"/>
  <c r="E62" i="2"/>
  <c r="E48" i="2"/>
  <c r="F29" i="1"/>
  <c r="F25" i="1"/>
  <c r="E44" i="2"/>
  <c r="F21" i="1"/>
  <c r="E41" i="2"/>
  <c r="S41" i="1"/>
  <c r="P24" i="1"/>
  <c r="S24" i="1" s="1"/>
  <c r="E42" i="2"/>
  <c r="F23" i="1"/>
  <c r="F47" i="1"/>
  <c r="E66" i="2"/>
  <c r="E51" i="2"/>
  <c r="F32" i="1"/>
  <c r="F27" i="1"/>
  <c r="E46" i="2"/>
  <c r="F31" i="1"/>
  <c r="E50" i="2"/>
  <c r="P94" i="1"/>
  <c r="S94" i="1" s="1"/>
  <c r="F35" i="1"/>
  <c r="E54" i="2"/>
  <c r="F39" i="1"/>
  <c r="E58" i="2"/>
  <c r="C16" i="1"/>
  <c r="D18" i="1" s="1"/>
  <c r="O120" i="1"/>
  <c r="O96" i="1"/>
  <c r="O92" i="1"/>
  <c r="O101" i="1"/>
  <c r="O103" i="1"/>
  <c r="O89" i="1"/>
  <c r="O83" i="1"/>
  <c r="O119" i="1"/>
  <c r="O108" i="1"/>
  <c r="O87" i="1"/>
  <c r="O107" i="1"/>
  <c r="O91" i="1"/>
  <c r="O97" i="1"/>
  <c r="O88" i="1"/>
  <c r="O99" i="1"/>
  <c r="O110" i="1"/>
  <c r="O81" i="1"/>
  <c r="O115" i="1"/>
  <c r="O104" i="1"/>
  <c r="O86" i="1"/>
  <c r="O102" i="1"/>
  <c r="O117" i="1"/>
  <c r="O84" i="1"/>
  <c r="O82" i="1"/>
  <c r="O118" i="1"/>
  <c r="O113" i="1"/>
  <c r="O95" i="1"/>
  <c r="O109" i="1"/>
  <c r="O94" i="1"/>
  <c r="O90" i="1"/>
  <c r="O100" i="1"/>
  <c r="O85" i="1"/>
  <c r="O98" i="1"/>
  <c r="O116" i="1"/>
  <c r="O112" i="1"/>
  <c r="O111" i="1"/>
  <c r="O106" i="1"/>
  <c r="O93" i="1"/>
  <c r="O105" i="1"/>
  <c r="O114" i="1"/>
  <c r="S120" i="1"/>
  <c r="C15" i="1" l="1"/>
  <c r="C18" i="1" s="1"/>
  <c r="G35" i="1"/>
  <c r="H35" i="1" s="1"/>
  <c r="P35" i="1"/>
  <c r="G47" i="1"/>
  <c r="H47" i="1" s="1"/>
  <c r="P47" i="1"/>
  <c r="S47" i="1" s="1"/>
  <c r="P25" i="1"/>
  <c r="G25" i="1"/>
  <c r="H25" i="1" s="1"/>
  <c r="G23" i="1"/>
  <c r="H23" i="1" s="1"/>
  <c r="P23" i="1"/>
  <c r="G29" i="1"/>
  <c r="H29" i="1" s="1"/>
  <c r="P29" i="1"/>
  <c r="P31" i="1"/>
  <c r="G31" i="1"/>
  <c r="H31" i="1" s="1"/>
  <c r="G27" i="1"/>
  <c r="H27" i="1" s="1"/>
  <c r="P27" i="1"/>
  <c r="S27" i="1" s="1"/>
  <c r="G43" i="1"/>
  <c r="H43" i="1" s="1"/>
  <c r="P43" i="1"/>
  <c r="G39" i="1"/>
  <c r="H39" i="1" s="1"/>
  <c r="P39" i="1"/>
  <c r="G32" i="1"/>
  <c r="H32" i="1" s="1"/>
  <c r="P32" i="1"/>
  <c r="S32" i="1" s="1"/>
  <c r="D16" i="1"/>
  <c r="D19" i="1" s="1"/>
  <c r="G21" i="1"/>
  <c r="H21" i="1" s="1"/>
  <c r="P21" i="1"/>
  <c r="D15" i="1"/>
  <c r="C19" i="1" s="1"/>
  <c r="S39" i="1" l="1"/>
  <c r="S29" i="1"/>
  <c r="S35" i="1"/>
  <c r="F6" i="1"/>
  <c r="F8" i="1" s="1"/>
  <c r="S21" i="1"/>
  <c r="S43" i="1"/>
  <c r="S23" i="1"/>
  <c r="T21" i="1"/>
  <c r="S25" i="1"/>
  <c r="S31" i="1"/>
  <c r="E14" i="1" l="1"/>
  <c r="F7" i="1"/>
</calcChain>
</file>

<file path=xl/sharedStrings.xml><?xml version="1.0" encoding="utf-8"?>
<sst xmlns="http://schemas.openxmlformats.org/spreadsheetml/2006/main" count="926" uniqueCount="431">
  <si>
    <t>FH Ori / GSC 0109-2559</t>
  </si>
  <si>
    <t>n</t>
  </si>
  <si>
    <t>Q. Fit</t>
  </si>
  <si>
    <t>System Type: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</si>
  <si>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</si>
  <si>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</si>
  <si>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</si>
  <si>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</si>
  <si>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</si>
  <si>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</si>
  <si>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</si>
  <si>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</si>
  <si>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</si>
  <si>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</si>
  <si>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</si>
  <si>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</si>
  <si>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</si>
  <si>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</si>
  <si>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</si>
  <si>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</si>
  <si>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</si>
  <si>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</si>
  <si>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</si>
  <si>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</si>
  <si>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</si>
  <si>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</si>
  <si>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Source</t>
  </si>
  <si>
    <t>Typ</t>
  </si>
  <si>
    <t>ToM</t>
  </si>
  <si>
    <t>error</t>
  </si>
  <si>
    <t>n'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</si>
  <si>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</si>
  <si>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</si>
  <si>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</si>
  <si>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</si>
  <si>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</si>
  <si>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</si>
  <si>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</si>
  <si>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</si>
  <si>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</si>
  <si>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Date</t>
  </si>
  <si>
    <r>
      <t>diff</t>
    </r>
    <r>
      <rPr>
        <b/>
        <vertAlign val="superscript"/>
        <sz val="10"/>
        <rFont val="Arial"/>
        <family val="2"/>
      </rPr>
      <t>2</t>
    </r>
  </si>
  <si>
    <r>
      <t>wt.diff</t>
    </r>
    <r>
      <rPr>
        <b/>
        <vertAlign val="superscript"/>
        <sz val="10"/>
        <rFont val="Arial"/>
        <family val="2"/>
      </rPr>
      <t>2</t>
    </r>
  </si>
  <si>
    <t>BAD</t>
  </si>
  <si>
    <t> AAB 2.158 </t>
  </si>
  <si>
    <t>I</t>
  </si>
  <si>
    <t>GCVS 4</t>
  </si>
  <si>
    <t> AJ 53.13 </t>
  </si>
  <si>
    <t> AC 63.12 </t>
  </si>
  <si>
    <t> AAC 5.74 </t>
  </si>
  <si>
    <t> MHAR 19.5 </t>
  </si>
  <si>
    <t>HARTHA MITT. 19</t>
  </si>
  <si>
    <t>HARTHA MITT.19</t>
  </si>
  <si>
    <t>BBSAG Bull.86</t>
  </si>
  <si>
    <t>BBSAG Bull.87</t>
  </si>
  <si>
    <t>BBSAG Bull.91</t>
  </si>
  <si>
    <t>BBSAG Bull.94</t>
  </si>
  <si>
    <t>BAV-M 59</t>
  </si>
  <si>
    <t>BBSAG Bull.97</t>
  </si>
  <si>
    <t>BAVM 62 </t>
  </si>
  <si>
    <t>BAV-M 62</t>
  </si>
  <si>
    <t> AOEB 12 </t>
  </si>
  <si>
    <t>IBVS 4712</t>
  </si>
  <si>
    <t>IBVS 5263</t>
  </si>
  <si>
    <t>IBVS 5583</t>
  </si>
  <si>
    <t>IBVS 5731</t>
  </si>
  <si>
    <t>VSB 44 </t>
  </si>
  <si>
    <t>IBVS 5781</t>
  </si>
  <si>
    <t>VSB 46 </t>
  </si>
  <si>
    <t>IBVS 5893</t>
  </si>
  <si>
    <t>JAVSO..36..171</t>
  </si>
  <si>
    <t>IBVS 5924</t>
  </si>
  <si>
    <t>IBVS 5959</t>
  </si>
  <si>
    <t>JAVSO..38..183</t>
  </si>
  <si>
    <t>IBVS 5992</t>
  </si>
  <si>
    <t>JAVSO..39..177</t>
  </si>
  <si>
    <t>II</t>
  </si>
  <si>
    <t>IBVS 6011</t>
  </si>
  <si>
    <t>2013JAVSO..41..122</t>
  </si>
  <si>
    <t>VSB 59 </t>
  </si>
  <si>
    <t>IBVS 6152</t>
  </si>
  <si>
    <t>JAVSO..44…69</t>
  </si>
  <si>
    <t> JAAVSO 43-1 </t>
  </si>
  <si>
    <t>JAVSO 43, 77</t>
  </si>
  <si>
    <t>JAVSO..45..215</t>
  </si>
  <si>
    <t>JAVSO..46…79 (2018)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</si>
  <si>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</si>
  <si>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</si>
  <si>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</si>
  <si>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</si>
  <si>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</si>
  <si>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</si>
  <si>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</si>
  <si>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</si>
  <si>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2425900.387 </t>
  </si>
  <si>
    <t> 15.10.1929 21:17 </t>
  </si>
  <si>
    <t> 0.000 </t>
  </si>
  <si>
    <t>V </t>
  </si>
  <si>
    <t> K.Kordylewski </t>
  </si>
  <si>
    <t>2441356.407 </t>
  </si>
  <si>
    <t> 08.02.1972 21:46 </t>
  </si>
  <si>
    <t> -0.065 </t>
  </si>
  <si>
    <t>P </t>
  </si>
  <si>
    <t> T.Berthold </t>
  </si>
  <si>
    <t>2442836.349 </t>
  </si>
  <si>
    <t> 27.02.1976 20:22 </t>
  </si>
  <si>
    <t> -0.121 </t>
  </si>
  <si>
    <t>2443436.545 </t>
  </si>
  <si>
    <t> 20.10.1977 01:04 </t>
  </si>
  <si>
    <t> -0.098 </t>
  </si>
  <si>
    <t>2444290.560 </t>
  </si>
  <si>
    <t> 21.02.1980 01:26 </t>
  </si>
  <si>
    <t> -0.094 </t>
  </si>
  <si>
    <t>2444985.336 </t>
  </si>
  <si>
    <t> 15.01.1982 20:03 </t>
  </si>
  <si>
    <t> -0.143 </t>
  </si>
  <si>
    <t>2447151.542 </t>
  </si>
  <si>
    <t> 22.12.1987 01:00 </t>
  </si>
  <si>
    <t> -0.155 </t>
  </si>
  <si>
    <t> K.Locher </t>
  </si>
  <si>
    <t> BBS 86 </t>
  </si>
  <si>
    <t>2447205.320 </t>
  </si>
  <si>
    <t> 13.02.1988 19:40 </t>
  </si>
  <si>
    <t> -0.156 </t>
  </si>
  <si>
    <t> BBS 87 </t>
  </si>
  <si>
    <t>2447562.396 </t>
  </si>
  <si>
    <t> 04.02.1989 21:30 </t>
  </si>
  <si>
    <t> -0.172 </t>
  </si>
  <si>
    <t> BBS 91 </t>
  </si>
  <si>
    <t>2447932.371 </t>
  </si>
  <si>
    <t> 09.02.1990 20:54 </t>
  </si>
  <si>
    <t> -0.197 </t>
  </si>
  <si>
    <t> H.Peter </t>
  </si>
  <si>
    <t> BBS 94 </t>
  </si>
  <si>
    <t>2448205.586 </t>
  </si>
  <si>
    <t> 10.11.1990 02:03 </t>
  </si>
  <si>
    <t> -0.179 </t>
  </si>
  <si>
    <t>F </t>
  </si>
  <si>
    <t> Moschner&amp;Kleikamp </t>
  </si>
  <si>
    <t>BAVM 59 </t>
  </si>
  <si>
    <t>2448233.535 </t>
  </si>
  <si>
    <t> 08.12.1990 00:50 </t>
  </si>
  <si>
    <t> -0.195 </t>
  </si>
  <si>
    <t>E </t>
  </si>
  <si>
    <t>?</t>
  </si>
  <si>
    <t> A.Paschke </t>
  </si>
  <si>
    <t> BBS 97 </t>
  </si>
  <si>
    <t>2448274.416 </t>
  </si>
  <si>
    <t> 17.01.1991 21:59 </t>
  </si>
  <si>
    <t> -0.186 </t>
  </si>
  <si>
    <t>2448330.341 </t>
  </si>
  <si>
    <t> 14.03.1991 20:11 </t>
  </si>
  <si>
    <t> -0.191 </t>
  </si>
  <si>
    <t>2450849.2846 </t>
  </si>
  <si>
    <t> 04.02.1998 18:49 </t>
  </si>
  <si>
    <t> -0.2561 </t>
  </si>
  <si>
    <t>o</t>
  </si>
  <si>
    <t> W.Kleikamp </t>
  </si>
  <si>
    <t>BAVM 118 </t>
  </si>
  <si>
    <t>2451137.5314 </t>
  </si>
  <si>
    <t> 20.11.1998 00:45 </t>
  </si>
  <si>
    <t> -0.2647 </t>
  </si>
  <si>
    <t>2451193.4578 </t>
  </si>
  <si>
    <t> 14.01.1999 22:59 </t>
  </si>
  <si>
    <t> -0.2685 </t>
  </si>
  <si>
    <t> M.Zejda </t>
  </si>
  <si>
    <t>IBVS 5263 </t>
  </si>
  <si>
    <t>2453028.3630 </t>
  </si>
  <si>
    <t> 23.01.2004 20:42 </t>
  </si>
  <si>
    <t> -0.3028 </t>
  </si>
  <si>
    <t>IBVS 5583 </t>
  </si>
  <si>
    <t>2453671.5463 </t>
  </si>
  <si>
    <t> 28.10.2005 01:06 </t>
  </si>
  <si>
    <t> -0.3163 </t>
  </si>
  <si>
    <t>C </t>
  </si>
  <si>
    <t> Schmidt </t>
  </si>
  <si>
    <t>BAVM 178 </t>
  </si>
  <si>
    <t>2454097.4627 </t>
  </si>
  <si>
    <t> 27.12.2006 23:06 </t>
  </si>
  <si>
    <t> -0.3296 </t>
  </si>
  <si>
    <t> R. Diethelm </t>
  </si>
  <si>
    <t> BBS 133 (=IBVS 5781) </t>
  </si>
  <si>
    <t>2454166.2980 </t>
  </si>
  <si>
    <t> 06.03.2007 19:09 </t>
  </si>
  <si>
    <t> -0.3314 </t>
  </si>
  <si>
    <t> S.Dogru et al. </t>
  </si>
  <si>
    <t>IBVS 5893 </t>
  </si>
  <si>
    <t>2454514.7753 </t>
  </si>
  <si>
    <t> 18.02.2008 06:36 </t>
  </si>
  <si>
    <t> -0.3420 </t>
  </si>
  <si>
    <t>ns</t>
  </si>
  <si>
    <t> J.Bialozynski </t>
  </si>
  <si>
    <t>JAAVSO 36(2);171 </t>
  </si>
  <si>
    <t>2455123.5334 </t>
  </si>
  <si>
    <t> 19.10.2009 00:48 </t>
  </si>
  <si>
    <t> -0.3622 </t>
  </si>
  <si>
    <t> N.Erkan et al. </t>
  </si>
  <si>
    <t>IBVS 5924 </t>
  </si>
  <si>
    <t>2455192.3715 </t>
  </si>
  <si>
    <t> 26.12.2009 20:54 </t>
  </si>
  <si>
    <t> -0.3612 </t>
  </si>
  <si>
    <t>-U;-I</t>
  </si>
  <si>
    <t> M.Rätz &amp; K.Rätz </t>
  </si>
  <si>
    <t>BAVM 214 </t>
  </si>
  <si>
    <t>2455209.5803 </t>
  </si>
  <si>
    <t> 13.01.2010 01:55 </t>
  </si>
  <si>
    <t>13625</t>
  </si>
  <si>
    <t> -0.3617 </t>
  </si>
  <si>
    <t> G.Samolyk </t>
  </si>
  <si>
    <t> JAAVSO 38;120 </t>
  </si>
  <si>
    <t>2455566.6622 </t>
  </si>
  <si>
    <t> 05.01.2011 03:53 </t>
  </si>
  <si>
    <t>13791</t>
  </si>
  <si>
    <t> -0.3724 </t>
  </si>
  <si>
    <t> R.Diethelm </t>
  </si>
  <si>
    <t>IBVS 5992 </t>
  </si>
  <si>
    <t>2455581.7207 </t>
  </si>
  <si>
    <t> 20.01.2011 05:17 </t>
  </si>
  <si>
    <t>13798</t>
  </si>
  <si>
    <t> -0.3720 </t>
  </si>
  <si>
    <t> R.Poklar </t>
  </si>
  <si>
    <t> JAAVSO 39;177 </t>
  </si>
  <si>
    <t>2455882.8712 </t>
  </si>
  <si>
    <t> 17.11.2011 08:54 </t>
  </si>
  <si>
    <t>13938</t>
  </si>
  <si>
    <t> -0.3839 </t>
  </si>
  <si>
    <t>IBVS 6011 </t>
  </si>
  <si>
    <t>2455936.6455 </t>
  </si>
  <si>
    <t> 10.01.2012 03:29 </t>
  </si>
  <si>
    <t>13963</t>
  </si>
  <si>
    <t> -0.3886 </t>
  </si>
  <si>
    <t> JAAVSO 41;122 </t>
  </si>
  <si>
    <t>2457042.3011 </t>
  </si>
  <si>
    <t> 19.01.2015 19:13 </t>
  </si>
  <si>
    <t>14477</t>
  </si>
  <si>
    <t> -0.4292 </t>
  </si>
  <si>
    <t>-I</t>
  </si>
  <si>
    <t> F.Agerer </t>
  </si>
  <si>
    <t>BAVM 239 </t>
  </si>
  <si>
    <t>2425889.640 </t>
  </si>
  <si>
    <t> 05.10.1929 03:21 </t>
  </si>
  <si>
    <t> 0.009 </t>
  </si>
  <si>
    <t>2425941.263 </t>
  </si>
  <si>
    <t> 25.11.1929 18:18 </t>
  </si>
  <si>
    <t> 0.004 </t>
  </si>
  <si>
    <t>2426330.615 </t>
  </si>
  <si>
    <t> 20.12.1930 02:45 </t>
  </si>
  <si>
    <t> -0.004 </t>
  </si>
  <si>
    <t>2426354.275 </t>
  </si>
  <si>
    <t> 12.01.1931 18:36 </t>
  </si>
  <si>
    <t> -0.007 </t>
  </si>
  <si>
    <t>2426427.380 </t>
  </si>
  <si>
    <t> 26.03.1931 21:07 </t>
  </si>
  <si>
    <t> -0.041 </t>
  </si>
  <si>
    <t>2426440.317 </t>
  </si>
  <si>
    <t> 08.04.1931 19:36 </t>
  </si>
  <si>
    <t> -0.011 </t>
  </si>
  <si>
    <t>2426653.278 </t>
  </si>
  <si>
    <t> 07.11.1931 18:40 </t>
  </si>
  <si>
    <t> -0.015 </t>
  </si>
  <si>
    <t>2427694.450 </t>
  </si>
  <si>
    <t> 13.09.1934 22:48 </t>
  </si>
  <si>
    <t>2427696.591 </t>
  </si>
  <si>
    <t> 16.09.1934 02:11 </t>
  </si>
  <si>
    <t>2427696.593 </t>
  </si>
  <si>
    <t> 16.09.1934 02:13 </t>
  </si>
  <si>
    <t> -0.013 </t>
  </si>
  <si>
    <t> S.Piotrowski </t>
  </si>
  <si>
    <t>2427752.533 </t>
  </si>
  <si>
    <t> 11.11.1934 00:47 </t>
  </si>
  <si>
    <t> -0.003 </t>
  </si>
  <si>
    <t>2427862.251 </t>
  </si>
  <si>
    <t> 28.02.1935 18:01 </t>
  </si>
  <si>
    <t> 0.006 </t>
  </si>
  <si>
    <t>2428094.559 </t>
  </si>
  <si>
    <t> 19.10.1935 01:24 </t>
  </si>
  <si>
    <t>2428165.544 </t>
  </si>
  <si>
    <t> 29.12.1935 01:03 </t>
  </si>
  <si>
    <t> -0.014 </t>
  </si>
  <si>
    <t>2428548.456 </t>
  </si>
  <si>
    <t> 14.01.1937 22:56 </t>
  </si>
  <si>
    <t> -0.009 </t>
  </si>
  <si>
    <t>2428804.454 </t>
  </si>
  <si>
    <t> 27.09.1937 22:53 </t>
  </si>
  <si>
    <t> 0.001 </t>
  </si>
  <si>
    <t>2428832.428 </t>
  </si>
  <si>
    <t> 25.10.1937 22:16 </t>
  </si>
  <si>
    <t> 0.010 </t>
  </si>
  <si>
    <t>2428834.557 </t>
  </si>
  <si>
    <t> 28.10.1937 01:22 </t>
  </si>
  <si>
    <t> -0.012 </t>
  </si>
  <si>
    <t>2428834.574 </t>
  </si>
  <si>
    <t> 28.10.1937 01:46 </t>
  </si>
  <si>
    <t> 0.005 </t>
  </si>
  <si>
    <t>2430779.256 </t>
  </si>
  <si>
    <t> 23.02.1943 18:08 </t>
  </si>
  <si>
    <t> 0.038 </t>
  </si>
  <si>
    <t>2430783.531 </t>
  </si>
  <si>
    <t> 28.02.1943 00:44 </t>
  </si>
  <si>
    <t> 0.011 </t>
  </si>
  <si>
    <t> B.S.Whitney </t>
  </si>
  <si>
    <t>2430792.137 </t>
  </si>
  <si>
    <t> 08.03.1943 15:17 </t>
  </si>
  <si>
    <t> 0.012 </t>
  </si>
  <si>
    <t>2430796.452 </t>
  </si>
  <si>
    <t> 12.03.1943 22:50 </t>
  </si>
  <si>
    <t> 0.025 </t>
  </si>
  <si>
    <t>2431441.780 </t>
  </si>
  <si>
    <t> 17.12.1944 06:43 </t>
  </si>
  <si>
    <t>2431714.979 </t>
  </si>
  <si>
    <t> 16.09.1945 11:29 </t>
  </si>
  <si>
    <t> 0.007 </t>
  </si>
  <si>
    <t>2431904.291 </t>
  </si>
  <si>
    <t> 24.03.1946 18:59 </t>
  </si>
  <si>
    <t> 0.016 </t>
  </si>
  <si>
    <t>2432069.921 </t>
  </si>
  <si>
    <t> 06.09.1946 10:06 </t>
  </si>
  <si>
    <t>2432203.297 </t>
  </si>
  <si>
    <t> 17.01.1947 19:07 </t>
  </si>
  <si>
    <t>2432216.200 </t>
  </si>
  <si>
    <t> 30.01.1947 16:48 </t>
  </si>
  <si>
    <t>2432218.347 </t>
  </si>
  <si>
    <t> 01.02.1947 20:19 </t>
  </si>
  <si>
    <t> 0.003 </t>
  </si>
  <si>
    <t>2432246.319 </t>
  </si>
  <si>
    <t> 01.03.1947 19:39 </t>
  </si>
  <si>
    <t> A.Soloviev </t>
  </si>
  <si>
    <t>2432259.227 </t>
  </si>
  <si>
    <t> 14.03.1947 17:26 </t>
  </si>
  <si>
    <t>2432261.362 </t>
  </si>
  <si>
    <t> 16.03.1947 20:41 </t>
  </si>
  <si>
    <t> -0.005 </t>
  </si>
  <si>
    <t>2432562.554 </t>
  </si>
  <si>
    <t> 12.01.1948 01:17 </t>
  </si>
  <si>
    <t> 0.024 </t>
  </si>
  <si>
    <t> A.Szczepanowska </t>
  </si>
  <si>
    <t>2432889.510 </t>
  </si>
  <si>
    <t> 04.12.1948 00:14 </t>
  </si>
  <si>
    <t>2432945.440 </t>
  </si>
  <si>
    <t> 28.01.1949 22:33 </t>
  </si>
  <si>
    <t>2433001.363 </t>
  </si>
  <si>
    <t> 25.03.1949 20:42 </t>
  </si>
  <si>
    <t>2433190.664 </t>
  </si>
  <si>
    <t> 01.10.1949 03:56 </t>
  </si>
  <si>
    <t>2433328.348 </t>
  </si>
  <si>
    <t> 15.02.1950 20:21 </t>
  </si>
  <si>
    <t>2433330.475 </t>
  </si>
  <si>
    <t> 17.02.1950 23:24 </t>
  </si>
  <si>
    <t> -0.019 </t>
  </si>
  <si>
    <t>2433358.442 </t>
  </si>
  <si>
    <t> 17.03.1950 22:36 </t>
  </si>
  <si>
    <t> -0.017 </t>
  </si>
  <si>
    <t>2433571.412 </t>
  </si>
  <si>
    <t> 16.10.1950 21:53 </t>
  </si>
  <si>
    <t>2433599.382 </t>
  </si>
  <si>
    <t> 13.11.1950 21:10 </t>
  </si>
  <si>
    <t>2433629.501 </t>
  </si>
  <si>
    <t> 14.12.1950 00:01 </t>
  </si>
  <si>
    <t>2433685.423 </t>
  </si>
  <si>
    <t> 07.02.1951 22:09 </t>
  </si>
  <si>
    <t>2439407.461 </t>
  </si>
  <si>
    <t> 08.10.1966 23:03 </t>
  </si>
  <si>
    <t> -0.060 </t>
  </si>
  <si>
    <t>2439562.352 </t>
  </si>
  <si>
    <t> 12.03.1967 20:26 </t>
  </si>
  <si>
    <t> -0.052 </t>
  </si>
  <si>
    <t>2439564.539 </t>
  </si>
  <si>
    <t> 15.03.1967 00:56 </t>
  </si>
  <si>
    <t> -0.016 </t>
  </si>
  <si>
    <t>2439917.304 </t>
  </si>
  <si>
    <t> 01.03.1968 19:17 </t>
  </si>
  <si>
    <t> -0.042 </t>
  </si>
  <si>
    <t>2439949.578 </t>
  </si>
  <si>
    <t> 03.04.1968 01:52 </t>
  </si>
  <si>
    <t> -0.035 </t>
  </si>
  <si>
    <t>2440504.561 </t>
  </si>
  <si>
    <t> 10.10.1969 01:27 </t>
  </si>
  <si>
    <t> -0.051 </t>
  </si>
  <si>
    <t>2448644.399 </t>
  </si>
  <si>
    <t> 22.01.1992 21:34 </t>
  </si>
  <si>
    <t> -0.203 </t>
  </si>
  <si>
    <t> W.Moschner </t>
  </si>
  <si>
    <t>2449401.585 </t>
  </si>
  <si>
    <t> 18.02.1994 02:02 </t>
  </si>
  <si>
    <t> -0.225 </t>
  </si>
  <si>
    <t> M.Baldwin </t>
  </si>
  <si>
    <t>2449416.663 </t>
  </si>
  <si>
    <t> 05.03.1994 03:54 </t>
  </si>
  <si>
    <t> -0.205 </t>
  </si>
  <si>
    <t>2451608.638 </t>
  </si>
  <si>
    <t> 05.03.2000 03:18 </t>
  </si>
  <si>
    <t> -0.262 </t>
  </si>
  <si>
    <t>2452264.7125 </t>
  </si>
  <si>
    <t> 21.12.2001 05:06 </t>
  </si>
  <si>
    <t> -0.2915 </t>
  </si>
  <si>
    <t> S.Dvorak </t>
  </si>
  <si>
    <t>2452290.5256 </t>
  </si>
  <si>
    <t> 16.01.2002 00:36 </t>
  </si>
  <si>
    <t> -0.2923 </t>
  </si>
  <si>
    <t>2453682.295 </t>
  </si>
  <si>
    <t> 07.11.2005 19:04 </t>
  </si>
  <si>
    <t> -0.323 </t>
  </si>
  <si>
    <t> Hirosawa </t>
  </si>
  <si>
    <t>2454116.8219 </t>
  </si>
  <si>
    <t> 16.01.2007 07:43 </t>
  </si>
  <si>
    <t> -0.3308 </t>
  </si>
  <si>
    <t>2454134.0316 </t>
  </si>
  <si>
    <t> 02.02.2007 12:45 </t>
  </si>
  <si>
    <t> -0.3304 </t>
  </si>
  <si>
    <t>Ic</t>
  </si>
  <si>
    <t> K.Nakajima </t>
  </si>
  <si>
    <t>2457010.0303 </t>
  </si>
  <si>
    <t> 18.12.2014 12:43 </t>
  </si>
  <si>
    <t>14462</t>
  </si>
  <si>
    <t> -0.4326 </t>
  </si>
  <si>
    <t> S.Kiyota </t>
  </si>
  <si>
    <t>2457076.7173 </t>
  </si>
  <si>
    <t> 23.02.2015 05:12 </t>
  </si>
  <si>
    <t>14493</t>
  </si>
  <si>
    <t> -0.4316 </t>
  </si>
  <si>
    <t> R.Sabo </t>
  </si>
  <si>
    <t>JAVSO, 50, 133</t>
  </si>
  <si>
    <t>VSB, 108</t>
  </si>
  <si>
    <t>JAAVSO, 51, 250</t>
  </si>
  <si>
    <t>JAAVSO52#1</t>
  </si>
  <si>
    <t>Next ToM-P</t>
  </si>
  <si>
    <t>Next ToM-S</t>
  </si>
  <si>
    <t>11.85 (0.95)</t>
  </si>
  <si>
    <t xml:space="preserve">Mag CV </t>
  </si>
  <si>
    <t>EA/SD</t>
  </si>
  <si>
    <t>JAAVSO, 52, 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</si>
</sst>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_);&quot;($&quot;#,##0\)"/>
    <numFmt numFmtId="165" formatCode="m/d/yyyy\ h:mm"/>
    <numFmt numFmtId="166" formatCode="0.00000"/>
  </numFmts>
  <fonts count="20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4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thin">
        <color indexed="22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ill="0" applyBorder="0" applyProtection="0">
      <alignment vertical="top"/>
    </xf>
    <xf numFmtId="164" fontId="16" fillId="0" borderId="0" applyFill="0" applyBorder="0" applyProtection="0">
      <alignment vertical="top"/>
    </xf>
    <xf numFmtId="0" fontId="16" fillId="0" borderId="0" applyFill="0" applyBorder="0" applyProtection="0">
      <alignment vertical="top"/>
    </xf>
    <xf numFmtId="2" fontId="16" fillId="0" borderId="0" applyFill="0" applyBorder="0" applyProtection="0">
      <alignment vertical="top"/>
    </xf>
    <xf numFmtId="0" fontId="15" fillId="0" borderId="0" applyNumberFormat="0" applyFill="0" applyBorder="0" applyProtection="0">
      <alignment vertical="top"/>
    </xf>
    <xf numFmtId="0" fontId="16" fillId="0" borderId="0"/>
    <xf numFmtId="0" fontId="16" fillId="0" borderId="0"/>
  </cellStyleXfs>
  <cellXfs count="107">
    <xf numFmtId="0" fontId="0" fillId="0" borderId="0" xfId="0">
      <alignment vertical="top"/>
    </xf>
    <xf numFmtId="0" fontId="0" fillId="0" borderId="0" xfId="0" applyAlignment="1"/>
    <xf numFmtId="3" fontId="1" fillId="2" borderId="1" xfId="1" applyFont="1" applyFill="1" applyBorder="1" applyAlignment="1" applyProtection="1"/>
    <xf numFmtId="3" fontId="0" fillId="0" borderId="1" xfId="1" applyFont="1" applyFill="1" applyBorder="1" applyAlignment="1" applyProtection="1"/>
    <xf numFmtId="3" fontId="0" fillId="2" borderId="1" xfId="1" applyFont="1" applyFill="1" applyBorder="1" applyAlignment="1" applyProtection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6" applyFont="1" applyAlignment="1">
      <alignment horizontal="left" vertical="center"/>
    </xf>
    <xf numFmtId="0" fontId="12" fillId="0" borderId="0" xfId="6" applyFont="1" applyAlignment="1">
      <alignment horizontal="center" vertical="center"/>
    </xf>
    <xf numFmtId="0" fontId="12" fillId="0" borderId="0" xfId="7" applyFont="1" applyAlignment="1">
      <alignment horizontal="left" vertical="center"/>
    </xf>
    <xf numFmtId="0" fontId="12" fillId="0" borderId="0" xfId="7" applyFont="1" applyAlignment="1">
      <alignment horizontal="center" vertical="center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15" fillId="0" borderId="0" xfId="5" applyNumberFormat="1" applyFill="1" applyBorder="1" applyAlignment="1" applyProtection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>
      <alignment vertical="top"/>
    </xf>
    <xf numFmtId="0" fontId="11" fillId="2" borderId="20" xfId="0" applyFont="1" applyFill="1" applyBorder="1" applyAlignment="1">
      <alignment horizontal="left" vertical="top" wrapText="1" indent="1"/>
    </xf>
    <xf numFmtId="0" fontId="11" fillId="2" borderId="20" xfId="0" applyFont="1" applyFill="1" applyBorder="1" applyAlignment="1">
      <alignment horizontal="center" vertical="top" wrapText="1"/>
    </xf>
    <xf numFmtId="0" fontId="11" fillId="2" borderId="20" xfId="0" applyFont="1" applyFill="1" applyBorder="1" applyAlignment="1">
      <alignment horizontal="right" vertical="top" wrapText="1"/>
    </xf>
    <xf numFmtId="0" fontId="15" fillId="2" borderId="20" xfId="5" applyNumberFormat="1" applyFill="1" applyBorder="1" applyAlignment="1" applyProtection="1">
      <alignment horizontal="right" vertical="top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3" fontId="0" fillId="0" borderId="1" xfId="1" applyFont="1" applyFill="1" applyBorder="1" applyAlignment="1" applyProtection="1">
      <alignment vertical="center"/>
    </xf>
    <xf numFmtId="3" fontId="0" fillId="2" borderId="1" xfId="1" applyFont="1" applyFill="1" applyBorder="1" applyAlignment="1" applyProtection="1">
      <alignment vertical="center"/>
    </xf>
    <xf numFmtId="3" fontId="0" fillId="2" borderId="3" xfId="1" applyFont="1" applyFill="1" applyBorder="1" applyAlignment="1" applyProtection="1">
      <alignment vertical="center"/>
    </xf>
    <xf numFmtId="0" fontId="2" fillId="0" borderId="0" xfId="0" applyFont="1" applyAlignment="1">
      <alignment vertical="center"/>
    </xf>
    <xf numFmtId="3" fontId="0" fillId="0" borderId="4" xfId="1" applyFont="1" applyFill="1" applyBorder="1" applyAlignment="1" applyProtection="1">
      <alignment vertical="center"/>
    </xf>
    <xf numFmtId="0" fontId="0" fillId="2" borderId="5" xfId="1" applyNumberFormat="1" applyFont="1" applyFill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vertical="center"/>
    </xf>
    <xf numFmtId="11" fontId="0" fillId="0" borderId="0" xfId="0" applyNumberFormat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65" fontId="6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2" borderId="1" xfId="1" applyNumberFormat="1" applyFont="1" applyFill="1" applyBorder="1" applyAlignment="1" applyProtection="1">
      <alignment horizontal="left" vertical="center"/>
    </xf>
    <xf numFmtId="3" fontId="0" fillId="2" borderId="1" xfId="1" applyFont="1" applyFill="1" applyBorder="1" applyAlignment="1" applyProtection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3" fontId="0" fillId="2" borderId="0" xfId="1" applyFont="1" applyFill="1" applyBorder="1" applyAlignment="1" applyProtection="1">
      <alignment vertical="center"/>
    </xf>
    <xf numFmtId="3" fontId="0" fillId="0" borderId="0" xfId="1" applyFont="1" applyFill="1" applyBorder="1" applyAlignment="1" applyProtection="1">
      <alignment vertical="center"/>
    </xf>
    <xf numFmtId="0" fontId="0" fillId="2" borderId="0" xfId="1" applyNumberFormat="1" applyFont="1" applyFill="1" applyBorder="1" applyAlignment="1" applyProtection="1">
      <alignment horizontal="left" vertical="center"/>
    </xf>
    <xf numFmtId="3" fontId="0" fillId="2" borderId="0" xfId="1" applyFont="1" applyFill="1" applyBorder="1" applyAlignment="1" applyProtection="1">
      <alignment horizontal="left" vertical="center"/>
    </xf>
    <xf numFmtId="3" fontId="0" fillId="0" borderId="0" xfId="1" applyFont="1" applyFill="1" applyBorder="1" applyAlignment="1" applyProtection="1">
      <alignment horizontal="center" vertical="center"/>
    </xf>
    <xf numFmtId="3" fontId="11" fillId="2" borderId="0" xfId="1" applyFont="1" applyFill="1" applyBorder="1" applyAlignment="1" applyProtection="1">
      <alignment vertical="center"/>
    </xf>
    <xf numFmtId="3" fontId="11" fillId="0" borderId="0" xfId="1" applyFont="1" applyFill="1" applyBorder="1" applyAlignment="1" applyProtection="1">
      <alignment horizontal="center" vertical="center"/>
    </xf>
    <xf numFmtId="0" fontId="11" fillId="2" borderId="0" xfId="1" applyNumberFormat="1" applyFont="1" applyFill="1" applyBorder="1" applyAlignment="1" applyProtection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3" fillId="0" borderId="0" xfId="6" applyFont="1" applyAlignment="1">
      <alignment vertical="center"/>
    </xf>
    <xf numFmtId="0" fontId="13" fillId="0" borderId="0" xfId="6" applyFont="1" applyAlignment="1">
      <alignment horizontal="center" vertical="center"/>
    </xf>
    <xf numFmtId="0" fontId="13" fillId="0" borderId="0" xfId="6" applyFont="1" applyAlignment="1">
      <alignment horizontal="left" vertical="center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0" fillId="0" borderId="1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66" fontId="17" fillId="0" borderId="0" xfId="0" applyNumberFormat="1" applyFont="1" applyAlignment="1">
      <alignment horizontal="left" vertical="center" wrapText="1"/>
    </xf>
    <xf numFmtId="166" fontId="17" fillId="0" borderId="0" xfId="0" applyNumberFormat="1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left"/>
    </xf>
    <xf numFmtId="3" fontId="0" fillId="2" borderId="4" xfId="1" applyFont="1" applyFill="1" applyBorder="1" applyAlignment="1" applyProtection="1">
      <alignment vertical="center"/>
    </xf>
    <xf numFmtId="3" fontId="0" fillId="2" borderId="21" xfId="1" applyFont="1" applyFill="1" applyBorder="1" applyAlignment="1" applyProtection="1">
      <alignment vertical="center"/>
    </xf>
    <xf numFmtId="0" fontId="0" fillId="2" borderId="22" xfId="1" applyNumberFormat="1" applyFont="1" applyFill="1" applyBorder="1" applyAlignment="1" applyProtection="1">
      <alignment horizontal="right" vertical="center"/>
    </xf>
    <xf numFmtId="0" fontId="18" fillId="0" borderId="25" xfId="0" applyFont="1" applyBorder="1" applyAlignment="1">
      <alignment horizontal="right" vertical="center"/>
    </xf>
    <xf numFmtId="0" fontId="18" fillId="0" borderId="27" xfId="0" applyFont="1" applyBorder="1" applyAlignment="1">
      <alignment horizontal="right" vertical="center"/>
    </xf>
    <xf numFmtId="0" fontId="0" fillId="3" borderId="23" xfId="0" applyFill="1" applyBorder="1" applyAlignment="1">
      <alignment horizontal="right" vertical="center"/>
    </xf>
    <xf numFmtId="0" fontId="0" fillId="3" borderId="24" xfId="0" applyFill="1" applyBorder="1" applyAlignment="1">
      <alignment horizontal="center" vertical="center"/>
    </xf>
    <xf numFmtId="0" fontId="2" fillId="0" borderId="26" xfId="0" applyFont="1" applyBorder="1" applyAlignment="1">
      <alignment horizontal="right" vertical="center"/>
    </xf>
    <xf numFmtId="0" fontId="19" fillId="0" borderId="26" xfId="0" applyFont="1" applyBorder="1" applyAlignment="1">
      <alignment horizontal="right" vertical="center"/>
    </xf>
    <xf numFmtId="22" fontId="19" fillId="0" borderId="26" xfId="0" applyNumberFormat="1" applyFont="1" applyBorder="1" applyAlignment="1">
      <alignment horizontal="right" vertical="center"/>
    </xf>
    <xf numFmtId="22" fontId="19" fillId="0" borderId="28" xfId="0" applyNumberFormat="1" applyFont="1" applyBorder="1" applyAlignment="1">
      <alignment horizontal="right"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/>
    <xf numFmtId="0" fontId="17" fillId="0" borderId="0" xfId="0" applyFont="1" applyAlignment="1">
      <alignment vertical="center" wrapText="1"/>
    </xf>
    <xf numFmtId="0" fontId="17" fillId="0" borderId="0" xfId="0" applyFont="1" applyAlignment="1" applyProtection="1">
      <alignment horizontal="center"/>
      <protection locked="0"/>
    </xf>
    <xf numFmtId="166" fontId="17" fillId="0" borderId="0" xfId="0" applyNumberFormat="1" applyFont="1" applyAlignment="1" applyProtection="1">
      <alignment horizontal="left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FH Ori - O-C Diagr.</a:t>
            </a:r>
          </a:p>
        </c:rich>
      </c:tx>
      <c:layout>
        <c:manualLayout>
          <c:xMode val="edge"/>
          <c:yMode val="edge"/>
          <c:x val="0.37964492725969834"/>
          <c:y val="4.3749999999999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99725867599885"/>
          <c:y val="0.14023018861772713"/>
          <c:w val="0.83720843783415966"/>
          <c:h val="0.6627394401786732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Active!$F$21:$F$1019</c:f>
              <c:numCache>
                <c:formatCode>General</c:formatCode>
                <c:ptCount val="9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  <c:pt idx="99">
                  <c:v>15632</c:v>
                </c:pt>
                <c:pt idx="100">
                  <c:v>15666</c:v>
                </c:pt>
                <c:pt idx="101">
                  <c:v>15849</c:v>
                </c:pt>
                <c:pt idx="102">
                  <c:v>15976</c:v>
                </c:pt>
                <c:pt idx="103">
                  <c:v>16020</c:v>
                </c:pt>
                <c:pt idx="104">
                  <c:v>16026</c:v>
                </c:pt>
              </c:numCache>
            </c:numRef>
          </c:xVal>
          <c:yVal>
            <c:numRef>
              <c:f>Active!$H$21:$H$1019</c:f>
              <c:numCache>
                <c:formatCode>General</c:formatCode>
                <c:ptCount val="999"/>
                <c:pt idx="0">
                  <c:v>8.7999999996100087E-3</c:v>
                </c:pt>
                <c:pt idx="1">
                  <c:v>0</c:v>
                </c:pt>
                <c:pt idx="2">
                  <c:v>3.9600000018253922E-3</c:v>
                </c:pt>
                <c:pt idx="3">
                  <c:v>-3.9999999971769284E-3</c:v>
                </c:pt>
                <c:pt idx="4">
                  <c:v>-6.7599999965750612E-3</c:v>
                </c:pt>
                <c:pt idx="5">
                  <c:v>-4.1199999996024417E-2</c:v>
                </c:pt>
                <c:pt idx="6">
                  <c:v>-1.1159999998199055E-2</c:v>
                </c:pt>
                <c:pt idx="7">
                  <c:v>-1.4999999999417923E-2</c:v>
                </c:pt>
                <c:pt idx="8">
                  <c:v>-4.4399999969755299E-3</c:v>
                </c:pt>
                <c:pt idx="9">
                  <c:v>-1.4599999998608837E-2</c:v>
                </c:pt>
                <c:pt idx="10">
                  <c:v>-1.2599999998201383E-2</c:v>
                </c:pt>
                <c:pt idx="11">
                  <c:v>-2.7599999993981328E-3</c:v>
                </c:pt>
                <c:pt idx="12">
                  <c:v>6.0800000028393697E-3</c:v>
                </c:pt>
                <c:pt idx="13">
                  <c:v>-1.119999999718857E-2</c:v>
                </c:pt>
                <c:pt idx="14">
                  <c:v>-1.4479999998002313E-2</c:v>
                </c:pt>
                <c:pt idx="15">
                  <c:v>-8.9599999992060475E-3</c:v>
                </c:pt>
                <c:pt idx="16">
                  <c:v>1.0000000038417056E-3</c:v>
                </c:pt>
                <c:pt idx="17">
                  <c:v>9.9200000004202593E-3</c:v>
                </c:pt>
                <c:pt idx="18">
                  <c:v>-1.2239999996381812E-2</c:v>
                </c:pt>
                <c:pt idx="19">
                  <c:v>4.7600000034435652E-3</c:v>
                </c:pt>
                <c:pt idx="20">
                  <c:v>3.8120000004710164E-2</c:v>
                </c:pt>
                <c:pt idx="21">
                  <c:v>1.0800000000017462E-2</c:v>
                </c:pt>
                <c:pt idx="22">
                  <c:v>1.2160000002040761E-2</c:v>
                </c:pt>
                <c:pt idx="23">
                  <c:v>2.4840000001859153E-2</c:v>
                </c:pt>
                <c:pt idx="24">
                  <c:v>4.8400000014225952E-3</c:v>
                </c:pt>
                <c:pt idx="25">
                  <c:v>6.5200000026379712E-3</c:v>
                </c:pt>
                <c:pt idx="26">
                  <c:v>1.6440000003058231E-2</c:v>
                </c:pt>
                <c:pt idx="27">
                  <c:v>7.1199999983946327E-3</c:v>
                </c:pt>
                <c:pt idx="28">
                  <c:v>1.1200000000826549E-2</c:v>
                </c:pt>
                <c:pt idx="29">
                  <c:v>7.2400000026391353E-3</c:v>
                </c:pt>
                <c:pt idx="30">
                  <c:v>3.0800000022281893E-3</c:v>
                </c:pt>
                <c:pt idx="31">
                  <c:v>1.0000000002037268E-2</c:v>
                </c:pt>
                <c:pt idx="32">
                  <c:v>1.104000000123051E-2</c:v>
                </c:pt>
                <c:pt idx="33">
                  <c:v>-5.1199999979871791E-3</c:v>
                </c:pt>
                <c:pt idx="34">
                  <c:v>2.4480000000039581E-2</c:v>
                </c:pt>
                <c:pt idx="35">
                  <c:v>4.1600000040489249E-3</c:v>
                </c:pt>
                <c:pt idx="36">
                  <c:v>4.0000000008149073E-3</c:v>
                </c:pt>
                <c:pt idx="37">
                  <c:v>-3.1600000002072193E-3</c:v>
                </c:pt>
                <c:pt idx="38">
                  <c:v>-4.2400000020279549E-3</c:v>
                </c:pt>
                <c:pt idx="39">
                  <c:v>5.5199999987962656E-3</c:v>
                </c:pt>
                <c:pt idx="40">
                  <c:v>-1.8640000002051238E-2</c:v>
                </c:pt>
                <c:pt idx="41">
                  <c:v>-1.6719999992346857E-2</c:v>
                </c:pt>
                <c:pt idx="42">
                  <c:v>-1.1559999999008141E-2</c:v>
                </c:pt>
                <c:pt idx="43">
                  <c:v>-6.6399999996065162E-3</c:v>
                </c:pt>
                <c:pt idx="44">
                  <c:v>-3.8800000038463622E-3</c:v>
                </c:pt>
                <c:pt idx="45">
                  <c:v>-1.2039999994158279E-2</c:v>
                </c:pt>
                <c:pt idx="46">
                  <c:v>-5.9639999999490101E-2</c:v>
                </c:pt>
                <c:pt idx="47">
                  <c:v>-5.2159999999275897E-2</c:v>
                </c:pt>
                <c:pt idx="48">
                  <c:v>-1.6320000002451707E-2</c:v>
                </c:pt>
                <c:pt idx="49">
                  <c:v>-4.1560000005119946E-2</c:v>
                </c:pt>
                <c:pt idx="50">
                  <c:v>-3.4959999997226987E-2</c:v>
                </c:pt>
                <c:pt idx="51">
                  <c:v>-5.1240000000689179E-2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20-4DB3-8103-FD72F66F78C3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  <a:prstDash val="solid"/>
              </a:ln>
            </c:spPr>
          </c:marker>
          <c:xVal>
            <c:numRef>
              <c:f>Active!$F$21:$F$1019</c:f>
              <c:numCache>
                <c:formatCode>General</c:formatCode>
                <c:ptCount val="9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  <c:pt idx="99">
                  <c:v>15632</c:v>
                </c:pt>
                <c:pt idx="100">
                  <c:v>15666</c:v>
                </c:pt>
                <c:pt idx="101">
                  <c:v>15849</c:v>
                </c:pt>
                <c:pt idx="102">
                  <c:v>15976</c:v>
                </c:pt>
                <c:pt idx="103">
                  <c:v>16020</c:v>
                </c:pt>
                <c:pt idx="104">
                  <c:v>16026</c:v>
                </c:pt>
              </c:numCache>
            </c:numRef>
          </c:xVal>
          <c:yVal>
            <c:numRef>
              <c:f>Active!$I$21:$I$1019</c:f>
              <c:numCache>
                <c:formatCode>General</c:formatCode>
                <c:ptCount val="999"/>
                <c:pt idx="52">
                  <c:v>-6.4599999997881241E-2</c:v>
                </c:pt>
                <c:pt idx="53">
                  <c:v>-0.12067999999271706</c:v>
                </c:pt>
                <c:pt idx="54">
                  <c:v>-9.832000000460539E-2</c:v>
                </c:pt>
                <c:pt idx="55">
                  <c:v>-9.3840000001364388E-2</c:v>
                </c:pt>
                <c:pt idx="56">
                  <c:v>-0.14251999999396503</c:v>
                </c:pt>
                <c:pt idx="57">
                  <c:v>-0.1546399999933783</c:v>
                </c:pt>
                <c:pt idx="58">
                  <c:v>-0.15563999999722</c:v>
                </c:pt>
                <c:pt idx="59">
                  <c:v>-0.1721999999936088</c:v>
                </c:pt>
                <c:pt idx="60">
                  <c:v>-0.19671999999991385</c:v>
                </c:pt>
                <c:pt idx="61">
                  <c:v>-0.17903999999543885</c:v>
                </c:pt>
                <c:pt idx="62">
                  <c:v>-0.19511999999667751</c:v>
                </c:pt>
                <c:pt idx="63">
                  <c:v>-0.18615999999747146</c:v>
                </c:pt>
                <c:pt idx="64">
                  <c:v>-0.19131999999808613</c:v>
                </c:pt>
                <c:pt idx="65">
                  <c:v>-0.2026800000021467</c:v>
                </c:pt>
                <c:pt idx="66">
                  <c:v>-0.20167999999830499</c:v>
                </c:pt>
                <c:pt idx="67">
                  <c:v>-0.22499999999854481</c:v>
                </c:pt>
                <c:pt idx="68">
                  <c:v>-0.20511999999871477</c:v>
                </c:pt>
                <c:pt idx="77">
                  <c:v>-0.32340000000112923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20-4DB3-8103-FD72F66F78C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Active!$F$21:$F$1019</c:f>
              <c:numCache>
                <c:formatCode>General</c:formatCode>
                <c:ptCount val="9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  <c:pt idx="99">
                  <c:v>15632</c:v>
                </c:pt>
                <c:pt idx="100">
                  <c:v>15666</c:v>
                </c:pt>
                <c:pt idx="101">
                  <c:v>15849</c:v>
                </c:pt>
                <c:pt idx="102">
                  <c:v>15976</c:v>
                </c:pt>
                <c:pt idx="103">
                  <c:v>16020</c:v>
                </c:pt>
                <c:pt idx="104">
                  <c:v>16026</c:v>
                </c:pt>
              </c:numCache>
            </c:numRef>
          </c:xVal>
          <c:yVal>
            <c:numRef>
              <c:f>Active!$J$21:$J$1019</c:f>
              <c:numCache>
                <c:formatCode>General</c:formatCode>
                <c:ptCount val="999"/>
                <c:pt idx="69">
                  <c:v>-0.25607999999920139</c:v>
                </c:pt>
                <c:pt idx="70">
                  <c:v>-0.26471999999921536</c:v>
                </c:pt>
                <c:pt idx="76">
                  <c:v>-0.31629999999131542</c:v>
                </c:pt>
                <c:pt idx="84">
                  <c:v>-0.36121999999886611</c:v>
                </c:pt>
                <c:pt idx="91">
                  <c:v>-0.42922000000544358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20-4DB3-8103-FD72F66F78C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Active!$F$21:$F$1019</c:f>
              <c:numCache>
                <c:formatCode>General</c:formatCode>
                <c:ptCount val="9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  <c:pt idx="99">
                  <c:v>15632</c:v>
                </c:pt>
                <c:pt idx="100">
                  <c:v>15666</c:v>
                </c:pt>
                <c:pt idx="101">
                  <c:v>15849</c:v>
                </c:pt>
                <c:pt idx="102">
                  <c:v>15976</c:v>
                </c:pt>
                <c:pt idx="103">
                  <c:v>16020</c:v>
                </c:pt>
                <c:pt idx="104">
                  <c:v>16026</c:v>
                </c:pt>
              </c:numCache>
            </c:numRef>
          </c:xVal>
          <c:yVal>
            <c:numRef>
              <c:f>Active!$K$21:$K$1019</c:f>
              <c:numCache>
                <c:formatCode>General</c:formatCode>
                <c:ptCount val="999"/>
                <c:pt idx="71">
                  <c:v>-0.26848000000609318</c:v>
                </c:pt>
                <c:pt idx="72">
                  <c:v>-0.26215999999840278</c:v>
                </c:pt>
                <c:pt idx="73">
                  <c:v>-0.2914600000003702</c:v>
                </c:pt>
                <c:pt idx="74">
                  <c:v>-0.29228000000148313</c:v>
                </c:pt>
                <c:pt idx="75">
                  <c:v>-0.30276000000594649</c:v>
                </c:pt>
                <c:pt idx="78">
                  <c:v>-0.32957999999780441</c:v>
                </c:pt>
                <c:pt idx="79">
                  <c:v>-0.3308199999955832</c:v>
                </c:pt>
                <c:pt idx="80">
                  <c:v>-0.33039999999164138</c:v>
                </c:pt>
                <c:pt idx="81">
                  <c:v>-0.33139999999548309</c:v>
                </c:pt>
                <c:pt idx="82">
                  <c:v>-0.34201999999640975</c:v>
                </c:pt>
                <c:pt idx="83">
                  <c:v>-0.36220000000321306</c:v>
                </c:pt>
                <c:pt idx="85">
                  <c:v>-0.36169999999401625</c:v>
                </c:pt>
                <c:pt idx="86">
                  <c:v>-0.37236000000120839</c:v>
                </c:pt>
                <c:pt idx="87">
                  <c:v>-0.37198000000353204</c:v>
                </c:pt>
                <c:pt idx="88">
                  <c:v>-0.38388000000122702</c:v>
                </c:pt>
                <c:pt idx="89">
                  <c:v>-0.38857999999891035</c:v>
                </c:pt>
                <c:pt idx="90">
                  <c:v>-0.43261999999958789</c:v>
                </c:pt>
                <c:pt idx="92">
                  <c:v>-0.43185999999695923</c:v>
                </c:pt>
                <c:pt idx="93">
                  <c:v>-0.43157999999675667</c:v>
                </c:pt>
                <c:pt idx="94">
                  <c:v>-0.43157999999675667</c:v>
                </c:pt>
                <c:pt idx="95">
                  <c:v>-0.43797999999515014</c:v>
                </c:pt>
                <c:pt idx="96">
                  <c:v>-0.45507999999972526</c:v>
                </c:pt>
                <c:pt idx="97">
                  <c:v>-0.46063999999751104</c:v>
                </c:pt>
                <c:pt idx="98">
                  <c:v>-0.47615999999106862</c:v>
                </c:pt>
                <c:pt idx="99">
                  <c:v>-0.48282000000472181</c:v>
                </c:pt>
                <c:pt idx="100">
                  <c:v>-0.49186000008194242</c:v>
                </c:pt>
                <c:pt idx="101">
                  <c:v>-0.48733999999240041</c:v>
                </c:pt>
                <c:pt idx="102">
                  <c:v>-0.49405999999726191</c:v>
                </c:pt>
                <c:pt idx="103">
                  <c:v>-0.49519999999756692</c:v>
                </c:pt>
                <c:pt idx="104">
                  <c:v>-0.49746000000595814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20-4DB3-8103-FD72F66F78C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Active!$F$21:$F$1019</c:f>
              <c:numCache>
                <c:formatCode>General</c:formatCode>
                <c:ptCount val="9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  <c:pt idx="99">
                  <c:v>15632</c:v>
                </c:pt>
                <c:pt idx="100">
                  <c:v>15666</c:v>
                </c:pt>
                <c:pt idx="101">
                  <c:v>15849</c:v>
                </c:pt>
                <c:pt idx="102">
                  <c:v>15976</c:v>
                </c:pt>
                <c:pt idx="103">
                  <c:v>16020</c:v>
                </c:pt>
                <c:pt idx="104">
                  <c:v>16026</c:v>
                </c:pt>
              </c:numCache>
            </c:numRef>
          </c:xVal>
          <c:yVal>
            <c:numRef>
              <c:f>Active!$L$21:$L$1019</c:f>
              <c:numCache>
                <c:formatCode>General</c:formatCode>
                <c:ptCount val="9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F20-4DB3-8103-FD72F66F78C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Active!$F$21:$F$1019</c:f>
              <c:numCache>
                <c:formatCode>General</c:formatCode>
                <c:ptCount val="9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  <c:pt idx="99">
                  <c:v>15632</c:v>
                </c:pt>
                <c:pt idx="100">
                  <c:v>15666</c:v>
                </c:pt>
                <c:pt idx="101">
                  <c:v>15849</c:v>
                </c:pt>
                <c:pt idx="102">
                  <c:v>15976</c:v>
                </c:pt>
                <c:pt idx="103">
                  <c:v>16020</c:v>
                </c:pt>
                <c:pt idx="104">
                  <c:v>16026</c:v>
                </c:pt>
              </c:numCache>
            </c:numRef>
          </c:xVal>
          <c:yVal>
            <c:numRef>
              <c:f>Active!$M$21:$M$1019</c:f>
              <c:numCache>
                <c:formatCode>General</c:formatCode>
                <c:ptCount val="9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F20-4DB3-8103-FD72F66F78C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Active!$F$21:$F$1019</c:f>
              <c:numCache>
                <c:formatCode>General</c:formatCode>
                <c:ptCount val="9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  <c:pt idx="99">
                  <c:v>15632</c:v>
                </c:pt>
                <c:pt idx="100">
                  <c:v>15666</c:v>
                </c:pt>
                <c:pt idx="101">
                  <c:v>15849</c:v>
                </c:pt>
                <c:pt idx="102">
                  <c:v>15976</c:v>
                </c:pt>
                <c:pt idx="103">
                  <c:v>16020</c:v>
                </c:pt>
                <c:pt idx="104">
                  <c:v>16026</c:v>
                </c:pt>
              </c:numCache>
            </c:numRef>
          </c:xVal>
          <c:yVal>
            <c:numRef>
              <c:f>Active!$N$21:$N$1019</c:f>
              <c:numCache>
                <c:formatCode>General</c:formatCode>
                <c:ptCount val="9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F20-4DB3-8103-FD72F66F78C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Active!$F$21:$F$1019</c:f>
              <c:numCache>
                <c:formatCode>General</c:formatCode>
                <c:ptCount val="9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  <c:pt idx="99">
                  <c:v>15632</c:v>
                </c:pt>
                <c:pt idx="100">
                  <c:v>15666</c:v>
                </c:pt>
                <c:pt idx="101">
                  <c:v>15849</c:v>
                </c:pt>
                <c:pt idx="102">
                  <c:v>15976</c:v>
                </c:pt>
                <c:pt idx="103">
                  <c:v>16020</c:v>
                </c:pt>
                <c:pt idx="104">
                  <c:v>16026</c:v>
                </c:pt>
              </c:numCache>
            </c:numRef>
          </c:xVal>
          <c:yVal>
            <c:numRef>
              <c:f>Active!$O$21:$O$1019</c:f>
              <c:numCache>
                <c:formatCode>General</c:formatCode>
                <c:ptCount val="999"/>
                <c:pt idx="60">
                  <c:v>-0.1672905963441324</c:v>
                </c:pt>
                <c:pt idx="61">
                  <c:v>-0.17482005133551198</c:v>
                </c:pt>
                <c:pt idx="62">
                  <c:v>-0.17559078294880276</c:v>
                </c:pt>
                <c:pt idx="63">
                  <c:v>-0.17671723684515089</c:v>
                </c:pt>
                <c:pt idx="64">
                  <c:v>-0.17825870007173256</c:v>
                </c:pt>
                <c:pt idx="65">
                  <c:v>-0.18691460895946016</c:v>
                </c:pt>
                <c:pt idx="66">
                  <c:v>-0.18691460895946016</c:v>
                </c:pt>
                <c:pt idx="67">
                  <c:v>-0.20778364956548828</c:v>
                </c:pt>
                <c:pt idx="68">
                  <c:v>-0.20819865889572181</c:v>
                </c:pt>
                <c:pt idx="69">
                  <c:v>-0.24768383231508201</c:v>
                </c:pt>
                <c:pt idx="70">
                  <c:v>-0.25562829663669501</c:v>
                </c:pt>
                <c:pt idx="71">
                  <c:v>-0.25716975986327667</c:v>
                </c:pt>
                <c:pt idx="72">
                  <c:v>-0.26861215996828641</c:v>
                </c:pt>
                <c:pt idx="73">
                  <c:v>-0.28669470935703251</c:v>
                </c:pt>
                <c:pt idx="74">
                  <c:v>-0.28740615392314711</c:v>
                </c:pt>
                <c:pt idx="75">
                  <c:v>-0.30774161110458936</c:v>
                </c:pt>
                <c:pt idx="76">
                  <c:v>-0.3254684382102781</c:v>
                </c:pt>
                <c:pt idx="77">
                  <c:v>-0.32576487344615918</c:v>
                </c:pt>
                <c:pt idx="78">
                  <c:v>-0.33720727355116892</c:v>
                </c:pt>
                <c:pt idx="79">
                  <c:v>-0.3377408569757549</c:v>
                </c:pt>
                <c:pt idx="80">
                  <c:v>-0.3382151533531646</c:v>
                </c:pt>
                <c:pt idx="81">
                  <c:v>-0.33910445906080783</c:v>
                </c:pt>
                <c:pt idx="82">
                  <c:v>-0.34870896070335494</c:v>
                </c:pt>
                <c:pt idx="83">
                  <c:v>-0.36548719505422417</c:v>
                </c:pt>
                <c:pt idx="84">
                  <c:v>-0.36738438056386308</c:v>
                </c:pt>
                <c:pt idx="85">
                  <c:v>-0.36785867694127289</c:v>
                </c:pt>
                <c:pt idx="86">
                  <c:v>-0.3777003267725248</c:v>
                </c:pt>
                <c:pt idx="87">
                  <c:v>-0.37811533610275833</c:v>
                </c:pt>
                <c:pt idx="88">
                  <c:v>-0.38641552270742857</c:v>
                </c:pt>
                <c:pt idx="89">
                  <c:v>-0.38789769888683395</c:v>
                </c:pt>
                <c:pt idx="90">
                  <c:v>-0.41748193542776607</c:v>
                </c:pt>
                <c:pt idx="91">
                  <c:v>-0.4183712411354093</c:v>
                </c:pt>
                <c:pt idx="92">
                  <c:v>-0.41890482455999528</c:v>
                </c:pt>
                <c:pt idx="93">
                  <c:v>-0.4193198338902287</c:v>
                </c:pt>
                <c:pt idx="94">
                  <c:v>-0.4193198338902287</c:v>
                </c:pt>
                <c:pt idx="95">
                  <c:v>-0.42643427955137475</c:v>
                </c:pt>
                <c:pt idx="96">
                  <c:v>-0.43888455945838017</c:v>
                </c:pt>
                <c:pt idx="97">
                  <c:v>-0.4460582921667024</c:v>
                </c:pt>
                <c:pt idx="98">
                  <c:v>-0.46989168513154139</c:v>
                </c:pt>
                <c:pt idx="99">
                  <c:v>-0.48684778062393935</c:v>
                </c:pt>
                <c:pt idx="100">
                  <c:v>-0.48886354022793072</c:v>
                </c:pt>
                <c:pt idx="101">
                  <c:v>-0.49971306986117831</c:v>
                </c:pt>
                <c:pt idx="102">
                  <c:v>-0.50724252485255783</c:v>
                </c:pt>
                <c:pt idx="103">
                  <c:v>-0.50985115492831135</c:v>
                </c:pt>
                <c:pt idx="104">
                  <c:v>-0.51020687721136859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F20-4DB3-8103-FD72F66F7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290560"/>
        <c:axId val="1"/>
      </c:scatterChart>
      <c:valAx>
        <c:axId val="423290560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7869139540114"/>
              <c:y val="0.862500000000000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578127734033242E-2"/>
              <c:y val="0.378358031333039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32905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32327138429182"/>
          <c:y val="0.89687499999999998"/>
          <c:w val="0.65751262513833597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FH Ori - O-C Diagr.</a:t>
            </a:r>
          </a:p>
        </c:rich>
      </c:tx>
      <c:layout>
        <c:manualLayout>
          <c:xMode val="edge"/>
          <c:yMode val="edge"/>
          <c:x val="0.3774193548387097"/>
          <c:y val="4.38871473354231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3991392286339"/>
          <c:y val="0.15341717722801299"/>
          <c:w val="0.83626630965077497"/>
          <c:h val="0.6405766585405058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Active!$F$21:$F$119</c:f>
              <c:numCache>
                <c:formatCode>General</c:formatCode>
                <c:ptCount val="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</c:numCache>
            </c:numRef>
          </c:xVal>
          <c:yVal>
            <c:numRef>
              <c:f>Active!$H$21:$H$119</c:f>
              <c:numCache>
                <c:formatCode>General</c:formatCode>
                <c:ptCount val="99"/>
                <c:pt idx="0">
                  <c:v>8.7999999996100087E-3</c:v>
                </c:pt>
                <c:pt idx="1">
                  <c:v>0</c:v>
                </c:pt>
                <c:pt idx="2">
                  <c:v>3.9600000018253922E-3</c:v>
                </c:pt>
                <c:pt idx="3">
                  <c:v>-3.9999999971769284E-3</c:v>
                </c:pt>
                <c:pt idx="4">
                  <c:v>-6.7599999965750612E-3</c:v>
                </c:pt>
                <c:pt idx="5">
                  <c:v>-4.1199999996024417E-2</c:v>
                </c:pt>
                <c:pt idx="6">
                  <c:v>-1.1159999998199055E-2</c:v>
                </c:pt>
                <c:pt idx="7">
                  <c:v>-1.4999999999417923E-2</c:v>
                </c:pt>
                <c:pt idx="8">
                  <c:v>-4.4399999969755299E-3</c:v>
                </c:pt>
                <c:pt idx="9">
                  <c:v>-1.4599999998608837E-2</c:v>
                </c:pt>
                <c:pt idx="10">
                  <c:v>-1.2599999998201383E-2</c:v>
                </c:pt>
                <c:pt idx="11">
                  <c:v>-2.7599999993981328E-3</c:v>
                </c:pt>
                <c:pt idx="12">
                  <c:v>6.0800000028393697E-3</c:v>
                </c:pt>
                <c:pt idx="13">
                  <c:v>-1.119999999718857E-2</c:v>
                </c:pt>
                <c:pt idx="14">
                  <c:v>-1.4479999998002313E-2</c:v>
                </c:pt>
                <c:pt idx="15">
                  <c:v>-8.9599999992060475E-3</c:v>
                </c:pt>
                <c:pt idx="16">
                  <c:v>1.0000000038417056E-3</c:v>
                </c:pt>
                <c:pt idx="17">
                  <c:v>9.9200000004202593E-3</c:v>
                </c:pt>
                <c:pt idx="18">
                  <c:v>-1.2239999996381812E-2</c:v>
                </c:pt>
                <c:pt idx="19">
                  <c:v>4.7600000034435652E-3</c:v>
                </c:pt>
                <c:pt idx="20">
                  <c:v>3.8120000004710164E-2</c:v>
                </c:pt>
                <c:pt idx="21">
                  <c:v>1.0800000000017462E-2</c:v>
                </c:pt>
                <c:pt idx="22">
                  <c:v>1.2160000002040761E-2</c:v>
                </c:pt>
                <c:pt idx="23">
                  <c:v>2.4840000001859153E-2</c:v>
                </c:pt>
                <c:pt idx="24">
                  <c:v>4.8400000014225952E-3</c:v>
                </c:pt>
                <c:pt idx="25">
                  <c:v>6.5200000026379712E-3</c:v>
                </c:pt>
                <c:pt idx="26">
                  <c:v>1.6440000003058231E-2</c:v>
                </c:pt>
                <c:pt idx="27">
                  <c:v>7.1199999983946327E-3</c:v>
                </c:pt>
                <c:pt idx="28">
                  <c:v>1.1200000000826549E-2</c:v>
                </c:pt>
                <c:pt idx="29">
                  <c:v>7.2400000026391353E-3</c:v>
                </c:pt>
                <c:pt idx="30">
                  <c:v>3.0800000022281893E-3</c:v>
                </c:pt>
                <c:pt idx="31">
                  <c:v>1.0000000002037268E-2</c:v>
                </c:pt>
                <c:pt idx="32">
                  <c:v>1.104000000123051E-2</c:v>
                </c:pt>
                <c:pt idx="33">
                  <c:v>-5.1199999979871791E-3</c:v>
                </c:pt>
                <c:pt idx="34">
                  <c:v>2.4480000000039581E-2</c:v>
                </c:pt>
                <c:pt idx="35">
                  <c:v>4.1600000040489249E-3</c:v>
                </c:pt>
                <c:pt idx="36">
                  <c:v>4.0000000008149073E-3</c:v>
                </c:pt>
                <c:pt idx="37">
                  <c:v>-3.1600000002072193E-3</c:v>
                </c:pt>
                <c:pt idx="38">
                  <c:v>-4.2400000020279549E-3</c:v>
                </c:pt>
                <c:pt idx="39">
                  <c:v>5.5199999987962656E-3</c:v>
                </c:pt>
                <c:pt idx="40">
                  <c:v>-1.8640000002051238E-2</c:v>
                </c:pt>
                <c:pt idx="41">
                  <c:v>-1.6719999992346857E-2</c:v>
                </c:pt>
                <c:pt idx="42">
                  <c:v>-1.1559999999008141E-2</c:v>
                </c:pt>
                <c:pt idx="43">
                  <c:v>-6.6399999996065162E-3</c:v>
                </c:pt>
                <c:pt idx="44">
                  <c:v>-3.8800000038463622E-3</c:v>
                </c:pt>
                <c:pt idx="45">
                  <c:v>-1.2039999994158279E-2</c:v>
                </c:pt>
                <c:pt idx="46">
                  <c:v>-5.9639999999490101E-2</c:v>
                </c:pt>
                <c:pt idx="47">
                  <c:v>-5.2159999999275897E-2</c:v>
                </c:pt>
                <c:pt idx="48">
                  <c:v>-1.6320000002451707E-2</c:v>
                </c:pt>
                <c:pt idx="49">
                  <c:v>-4.1560000005119946E-2</c:v>
                </c:pt>
                <c:pt idx="50">
                  <c:v>-3.4959999997226987E-2</c:v>
                </c:pt>
                <c:pt idx="51">
                  <c:v>-5.1240000000689179E-2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A8-4AF2-98C9-6FD92C8D318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Active!$F$21:$F$119</c:f>
              <c:numCache>
                <c:formatCode>General</c:formatCode>
                <c:ptCount val="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</c:numCache>
            </c:numRef>
          </c:xVal>
          <c:yVal>
            <c:numRef>
              <c:f>Active!$I$21:$I$119</c:f>
              <c:numCache>
                <c:formatCode>General</c:formatCode>
                <c:ptCount val="99"/>
                <c:pt idx="52">
                  <c:v>-6.4599999997881241E-2</c:v>
                </c:pt>
                <c:pt idx="53">
                  <c:v>-0.12067999999271706</c:v>
                </c:pt>
                <c:pt idx="54">
                  <c:v>-9.832000000460539E-2</c:v>
                </c:pt>
                <c:pt idx="55">
                  <c:v>-9.3840000001364388E-2</c:v>
                </c:pt>
                <c:pt idx="56">
                  <c:v>-0.14251999999396503</c:v>
                </c:pt>
                <c:pt idx="57">
                  <c:v>-0.1546399999933783</c:v>
                </c:pt>
                <c:pt idx="58">
                  <c:v>-0.15563999999722</c:v>
                </c:pt>
                <c:pt idx="59">
                  <c:v>-0.1721999999936088</c:v>
                </c:pt>
                <c:pt idx="60">
                  <c:v>-0.19671999999991385</c:v>
                </c:pt>
                <c:pt idx="61">
                  <c:v>-0.17903999999543885</c:v>
                </c:pt>
                <c:pt idx="62">
                  <c:v>-0.19511999999667751</c:v>
                </c:pt>
                <c:pt idx="63">
                  <c:v>-0.18615999999747146</c:v>
                </c:pt>
                <c:pt idx="64">
                  <c:v>-0.19131999999808613</c:v>
                </c:pt>
                <c:pt idx="65">
                  <c:v>-0.2026800000021467</c:v>
                </c:pt>
                <c:pt idx="66">
                  <c:v>-0.20167999999830499</c:v>
                </c:pt>
                <c:pt idx="67">
                  <c:v>-0.22499999999854481</c:v>
                </c:pt>
                <c:pt idx="68">
                  <c:v>-0.20511999999871477</c:v>
                </c:pt>
                <c:pt idx="77">
                  <c:v>-0.32340000000112923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A8-4AF2-98C9-6FD92C8D3185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Active!$F$21:$F$119</c:f>
              <c:numCache>
                <c:formatCode>General</c:formatCode>
                <c:ptCount val="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</c:numCache>
            </c:numRef>
          </c:xVal>
          <c:yVal>
            <c:numRef>
              <c:f>Active!$J$21:$J$119</c:f>
              <c:numCache>
                <c:formatCode>General</c:formatCode>
                <c:ptCount val="99"/>
                <c:pt idx="69">
                  <c:v>-0.25607999999920139</c:v>
                </c:pt>
                <c:pt idx="70">
                  <c:v>-0.26471999999921536</c:v>
                </c:pt>
                <c:pt idx="76">
                  <c:v>-0.31629999999131542</c:v>
                </c:pt>
                <c:pt idx="84">
                  <c:v>-0.36121999999886611</c:v>
                </c:pt>
                <c:pt idx="91">
                  <c:v>-0.42922000000544358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A8-4AF2-98C9-6FD92C8D3185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Active!$F$21:$F$328</c:f>
              <c:numCache>
                <c:formatCode>General</c:formatCode>
                <c:ptCount val="308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  <c:pt idx="99">
                  <c:v>15632</c:v>
                </c:pt>
                <c:pt idx="100">
                  <c:v>15666</c:v>
                </c:pt>
                <c:pt idx="101">
                  <c:v>15849</c:v>
                </c:pt>
                <c:pt idx="102">
                  <c:v>15976</c:v>
                </c:pt>
                <c:pt idx="103">
                  <c:v>16020</c:v>
                </c:pt>
                <c:pt idx="104">
                  <c:v>16026</c:v>
                </c:pt>
              </c:numCache>
            </c:numRef>
          </c:xVal>
          <c:yVal>
            <c:numRef>
              <c:f>Active!$K$21:$K$328</c:f>
              <c:numCache>
                <c:formatCode>General</c:formatCode>
                <c:ptCount val="308"/>
                <c:pt idx="71">
                  <c:v>-0.26848000000609318</c:v>
                </c:pt>
                <c:pt idx="72">
                  <c:v>-0.26215999999840278</c:v>
                </c:pt>
                <c:pt idx="73">
                  <c:v>-0.2914600000003702</c:v>
                </c:pt>
                <c:pt idx="74">
                  <c:v>-0.29228000000148313</c:v>
                </c:pt>
                <c:pt idx="75">
                  <c:v>-0.30276000000594649</c:v>
                </c:pt>
                <c:pt idx="78">
                  <c:v>-0.32957999999780441</c:v>
                </c:pt>
                <c:pt idx="79">
                  <c:v>-0.3308199999955832</c:v>
                </c:pt>
                <c:pt idx="80">
                  <c:v>-0.33039999999164138</c:v>
                </c:pt>
                <c:pt idx="81">
                  <c:v>-0.33139999999548309</c:v>
                </c:pt>
                <c:pt idx="82">
                  <c:v>-0.34201999999640975</c:v>
                </c:pt>
                <c:pt idx="83">
                  <c:v>-0.36220000000321306</c:v>
                </c:pt>
                <c:pt idx="85">
                  <c:v>-0.36169999999401625</c:v>
                </c:pt>
                <c:pt idx="86">
                  <c:v>-0.37236000000120839</c:v>
                </c:pt>
                <c:pt idx="87">
                  <c:v>-0.37198000000353204</c:v>
                </c:pt>
                <c:pt idx="88">
                  <c:v>-0.38388000000122702</c:v>
                </c:pt>
                <c:pt idx="89">
                  <c:v>-0.38857999999891035</c:v>
                </c:pt>
                <c:pt idx="90">
                  <c:v>-0.43261999999958789</c:v>
                </c:pt>
                <c:pt idx="92">
                  <c:v>-0.43185999999695923</c:v>
                </c:pt>
                <c:pt idx="93">
                  <c:v>-0.43157999999675667</c:v>
                </c:pt>
                <c:pt idx="94">
                  <c:v>-0.43157999999675667</c:v>
                </c:pt>
                <c:pt idx="95">
                  <c:v>-0.43797999999515014</c:v>
                </c:pt>
                <c:pt idx="96">
                  <c:v>-0.45507999999972526</c:v>
                </c:pt>
                <c:pt idx="97">
                  <c:v>-0.46063999999751104</c:v>
                </c:pt>
                <c:pt idx="98">
                  <c:v>-0.47615999999106862</c:v>
                </c:pt>
                <c:pt idx="99">
                  <c:v>-0.48282000000472181</c:v>
                </c:pt>
                <c:pt idx="100">
                  <c:v>-0.49186000008194242</c:v>
                </c:pt>
                <c:pt idx="101">
                  <c:v>-0.48733999999240041</c:v>
                </c:pt>
                <c:pt idx="102">
                  <c:v>-0.49405999999726191</c:v>
                </c:pt>
                <c:pt idx="103">
                  <c:v>-0.49519999999756692</c:v>
                </c:pt>
                <c:pt idx="104">
                  <c:v>-0.49746000000595814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A8-4AF2-98C9-6FD92C8D3185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Active!$F$21:$F$119</c:f>
              <c:numCache>
                <c:formatCode>General</c:formatCode>
                <c:ptCount val="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</c:numCache>
            </c:numRef>
          </c:xVal>
          <c:yVal>
            <c:numRef>
              <c:f>Active!$L$21:$L$119</c:f>
              <c:numCache>
                <c:formatCode>General</c:formatCode>
                <c:ptCount val="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A8-4AF2-98C9-6FD92C8D318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Active!$F$21:$F$119</c:f>
              <c:numCache>
                <c:formatCode>General</c:formatCode>
                <c:ptCount val="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</c:numCache>
            </c:numRef>
          </c:xVal>
          <c:yVal>
            <c:numRef>
              <c:f>Active!$M$21:$M$119</c:f>
              <c:numCache>
                <c:formatCode>General</c:formatCode>
                <c:ptCount val="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A8-4AF2-98C9-6FD92C8D318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Active!$F$21:$F$119</c:f>
              <c:numCache>
                <c:formatCode>General</c:formatCode>
                <c:ptCount val="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</c:numCache>
            </c:numRef>
          </c:xVal>
          <c:yVal>
            <c:numRef>
              <c:f>Active!$N$21:$N$119</c:f>
              <c:numCache>
                <c:formatCode>General</c:formatCode>
                <c:ptCount val="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4A8-4AF2-98C9-6FD92C8D318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Active!$F$21:$F$119</c:f>
              <c:numCache>
                <c:formatCode>General</c:formatCode>
                <c:ptCount val="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</c:numCache>
            </c:numRef>
          </c:xVal>
          <c:yVal>
            <c:numRef>
              <c:f>Active!$O$21:$O$119</c:f>
              <c:numCache>
                <c:formatCode>General</c:formatCode>
                <c:ptCount val="99"/>
                <c:pt idx="60">
                  <c:v>-0.1672905963441324</c:v>
                </c:pt>
                <c:pt idx="61">
                  <c:v>-0.17482005133551198</c:v>
                </c:pt>
                <c:pt idx="62">
                  <c:v>-0.17559078294880276</c:v>
                </c:pt>
                <c:pt idx="63">
                  <c:v>-0.17671723684515089</c:v>
                </c:pt>
                <c:pt idx="64">
                  <c:v>-0.17825870007173256</c:v>
                </c:pt>
                <c:pt idx="65">
                  <c:v>-0.18691460895946016</c:v>
                </c:pt>
                <c:pt idx="66">
                  <c:v>-0.18691460895946016</c:v>
                </c:pt>
                <c:pt idx="67">
                  <c:v>-0.20778364956548828</c:v>
                </c:pt>
                <c:pt idx="68">
                  <c:v>-0.20819865889572181</c:v>
                </c:pt>
                <c:pt idx="69">
                  <c:v>-0.24768383231508201</c:v>
                </c:pt>
                <c:pt idx="70">
                  <c:v>-0.25562829663669501</c:v>
                </c:pt>
                <c:pt idx="71">
                  <c:v>-0.25716975986327667</c:v>
                </c:pt>
                <c:pt idx="72">
                  <c:v>-0.26861215996828641</c:v>
                </c:pt>
                <c:pt idx="73">
                  <c:v>-0.28669470935703251</c:v>
                </c:pt>
                <c:pt idx="74">
                  <c:v>-0.28740615392314711</c:v>
                </c:pt>
                <c:pt idx="75">
                  <c:v>-0.30774161110458936</c:v>
                </c:pt>
                <c:pt idx="76">
                  <c:v>-0.3254684382102781</c:v>
                </c:pt>
                <c:pt idx="77">
                  <c:v>-0.32576487344615918</c:v>
                </c:pt>
                <c:pt idx="78">
                  <c:v>-0.33720727355116892</c:v>
                </c:pt>
                <c:pt idx="79">
                  <c:v>-0.3377408569757549</c:v>
                </c:pt>
                <c:pt idx="80">
                  <c:v>-0.3382151533531646</c:v>
                </c:pt>
                <c:pt idx="81">
                  <c:v>-0.33910445906080783</c:v>
                </c:pt>
                <c:pt idx="82">
                  <c:v>-0.34870896070335494</c:v>
                </c:pt>
                <c:pt idx="83">
                  <c:v>-0.36548719505422417</c:v>
                </c:pt>
                <c:pt idx="84">
                  <c:v>-0.36738438056386308</c:v>
                </c:pt>
                <c:pt idx="85">
                  <c:v>-0.36785867694127289</c:v>
                </c:pt>
                <c:pt idx="86">
                  <c:v>-0.3777003267725248</c:v>
                </c:pt>
                <c:pt idx="87">
                  <c:v>-0.37811533610275833</c:v>
                </c:pt>
                <c:pt idx="88">
                  <c:v>-0.38641552270742857</c:v>
                </c:pt>
                <c:pt idx="89">
                  <c:v>-0.38789769888683395</c:v>
                </c:pt>
                <c:pt idx="90">
                  <c:v>-0.41748193542776607</c:v>
                </c:pt>
                <c:pt idx="91">
                  <c:v>-0.4183712411354093</c:v>
                </c:pt>
                <c:pt idx="92">
                  <c:v>-0.41890482455999528</c:v>
                </c:pt>
                <c:pt idx="93">
                  <c:v>-0.4193198338902287</c:v>
                </c:pt>
                <c:pt idx="94">
                  <c:v>-0.4193198338902287</c:v>
                </c:pt>
                <c:pt idx="95">
                  <c:v>-0.42643427955137475</c:v>
                </c:pt>
                <c:pt idx="96">
                  <c:v>-0.43888455945838017</c:v>
                </c:pt>
                <c:pt idx="97">
                  <c:v>-0.4460582921667024</c:v>
                </c:pt>
                <c:pt idx="98">
                  <c:v>-0.46989168513154139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4A8-4AF2-98C9-6FD92C8D3185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Active!$V$2:$V$19</c:f>
              <c:numCache>
                <c:formatCode>General</c:formatCode>
                <c:ptCount val="18"/>
                <c:pt idx="0">
                  <c:v>-2000</c:v>
                </c:pt>
                <c:pt idx="1">
                  <c:v>-1000</c:v>
                </c:pt>
                <c:pt idx="2">
                  <c:v>0</c:v>
                </c:pt>
                <c:pt idx="3">
                  <c:v>1000</c:v>
                </c:pt>
                <c:pt idx="4">
                  <c:v>2000</c:v>
                </c:pt>
                <c:pt idx="5">
                  <c:v>3000</c:v>
                </c:pt>
                <c:pt idx="6">
                  <c:v>4000</c:v>
                </c:pt>
                <c:pt idx="7">
                  <c:v>5000</c:v>
                </c:pt>
                <c:pt idx="8">
                  <c:v>6000</c:v>
                </c:pt>
                <c:pt idx="9">
                  <c:v>7000</c:v>
                </c:pt>
                <c:pt idx="10">
                  <c:v>8000</c:v>
                </c:pt>
                <c:pt idx="11">
                  <c:v>9000</c:v>
                </c:pt>
                <c:pt idx="12">
                  <c:v>10000</c:v>
                </c:pt>
                <c:pt idx="13">
                  <c:v>11000</c:v>
                </c:pt>
                <c:pt idx="14">
                  <c:v>12000</c:v>
                </c:pt>
                <c:pt idx="15">
                  <c:v>13000</c:v>
                </c:pt>
                <c:pt idx="16">
                  <c:v>14000</c:v>
                </c:pt>
                <c:pt idx="17">
                  <c:v>15000</c:v>
                </c:pt>
              </c:numCache>
            </c:numRef>
          </c:xVal>
          <c:yVal>
            <c:numRef>
              <c:f>Active!$W$2:$W$19</c:f>
              <c:numCache>
                <c:formatCode>General</c:formatCode>
                <c:ptCount val="18"/>
                <c:pt idx="0">
                  <c:v>-4.5476482946250771E-2</c:v>
                </c:pt>
                <c:pt idx="1">
                  <c:v>-2.4584321222774506E-2</c:v>
                </c:pt>
                <c:pt idx="2">
                  <c:v>-9.369159829266999E-3</c:v>
                </c:pt>
                <c:pt idx="3">
                  <c:v>1.6900123427174936E-4</c:v>
                </c:pt>
                <c:pt idx="4">
                  <c:v>4.0301619678417382E-3</c:v>
                </c:pt>
                <c:pt idx="5">
                  <c:v>2.2143223714429679E-3</c:v>
                </c:pt>
                <c:pt idx="6">
                  <c:v>-5.2785175549245611E-3</c:v>
                </c:pt>
                <c:pt idx="7">
                  <c:v>-1.8448357811260856E-2</c:v>
                </c:pt>
                <c:pt idx="8">
                  <c:v>-3.7295198397565912E-2</c:v>
                </c:pt>
                <c:pt idx="9">
                  <c:v>-6.1819039313839724E-2</c:v>
                </c:pt>
                <c:pt idx="10">
                  <c:v>-9.2019880560082284E-2</c:v>
                </c:pt>
                <c:pt idx="11">
                  <c:v>-0.12789772213629361</c:v>
                </c:pt>
                <c:pt idx="12">
                  <c:v>-0.16945256404247372</c:v>
                </c:pt>
                <c:pt idx="13">
                  <c:v>-0.21668440627862254</c:v>
                </c:pt>
                <c:pt idx="14">
                  <c:v>-0.26959324884474017</c:v>
                </c:pt>
                <c:pt idx="15">
                  <c:v>-0.32817909174082649</c:v>
                </c:pt>
                <c:pt idx="16">
                  <c:v>-0.39244193496688168</c:v>
                </c:pt>
                <c:pt idx="17">
                  <c:v>-0.46238177852290552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4A8-4AF2-98C9-6FD92C8D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296792"/>
        <c:axId val="1"/>
      </c:scatterChart>
      <c:valAx>
        <c:axId val="423296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1612903225807"/>
              <c:y val="0.862070281967105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6931024832270599E-2"/>
              <c:y val="0.392083726083280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329679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677419354838708"/>
          <c:y val="0.89655304058779484"/>
          <c:w val="0.75322580645161286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17</xdr:col>
      <xdr:colOff>285750</xdr:colOff>
      <xdr:row>18</xdr:row>
      <xdr:rowOff>57150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F3505733-B4D5-F683-6BCC-15B1ABF2EC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371476</xdr:colOff>
      <xdr:row>0</xdr:row>
      <xdr:rowOff>19050</xdr:rowOff>
    </xdr:from>
    <xdr:to>
      <xdr:col>27</xdr:col>
      <xdr:colOff>123826</xdr:colOff>
      <xdr:row>18</xdr:row>
      <xdr:rowOff>76199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8F2A9954-263F-2A0E-79F8-083929B65E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893" TargetMode="External"/><Relationship Id="rId13" Type="http://schemas.openxmlformats.org/officeDocument/2006/relationships/hyperlink" Target="http://www.konkoly.hu/cgi-bin/IBVS?6011" TargetMode="External"/><Relationship Id="rId18" Type="http://schemas.openxmlformats.org/officeDocument/2006/relationships/hyperlink" Target="http://vsolj.cetus-net.org/vsoljno59.pdf" TargetMode="External"/><Relationship Id="rId3" Type="http://schemas.openxmlformats.org/officeDocument/2006/relationships/hyperlink" Target="http://www.bav-astro.de/sfs/BAVM_link.php?BAVMnr=118" TargetMode="External"/><Relationship Id="rId7" Type="http://schemas.openxmlformats.org/officeDocument/2006/relationships/hyperlink" Target="http://www.bav-astro.de/sfs/BAVM_link.php?BAVMnr=178" TargetMode="External"/><Relationship Id="rId12" Type="http://schemas.openxmlformats.org/officeDocument/2006/relationships/hyperlink" Target="http://www.konkoly.hu/cgi-bin/IBVS?5992" TargetMode="External"/><Relationship Id="rId17" Type="http://schemas.openxmlformats.org/officeDocument/2006/relationships/hyperlink" Target="http://vsolj.cetus-net.org/no46.pdf" TargetMode="External"/><Relationship Id="rId2" Type="http://schemas.openxmlformats.org/officeDocument/2006/relationships/hyperlink" Target="http://www.bav-astro.de/sfs/BAVM_link.php?BAVMnr=59" TargetMode="External"/><Relationship Id="rId16" Type="http://schemas.openxmlformats.org/officeDocument/2006/relationships/hyperlink" Target="http://vsolj.cetus-net.org/no44.pdf" TargetMode="External"/><Relationship Id="rId1" Type="http://schemas.openxmlformats.org/officeDocument/2006/relationships/hyperlink" Target="http://www.bav-astro.de/sfs/BAVM_link.php?BAVMnr=59" TargetMode="External"/><Relationship Id="rId6" Type="http://schemas.openxmlformats.org/officeDocument/2006/relationships/hyperlink" Target="http://www.konkoly.hu/cgi-bin/IBVS?5583" TargetMode="External"/><Relationship Id="rId11" Type="http://schemas.openxmlformats.org/officeDocument/2006/relationships/hyperlink" Target="http://www.bav-astro.de/sfs/BAVM_link.php?BAVMnr=214" TargetMode="External"/><Relationship Id="rId5" Type="http://schemas.openxmlformats.org/officeDocument/2006/relationships/hyperlink" Target="http://www.konkoly.hu/cgi-bin/IBVS?5263" TargetMode="External"/><Relationship Id="rId15" Type="http://schemas.openxmlformats.org/officeDocument/2006/relationships/hyperlink" Target="http://www.bav-astro.de/sfs/BAVM_link.php?BAVMnr=62" TargetMode="External"/><Relationship Id="rId10" Type="http://schemas.openxmlformats.org/officeDocument/2006/relationships/hyperlink" Target="http://www.konkoly.hu/cgi-bin/IBVS?5924" TargetMode="External"/><Relationship Id="rId4" Type="http://schemas.openxmlformats.org/officeDocument/2006/relationships/hyperlink" Target="http://www.bav-astro.de/sfs/BAVM_link.php?BAVMnr=118" TargetMode="External"/><Relationship Id="rId9" Type="http://schemas.openxmlformats.org/officeDocument/2006/relationships/hyperlink" Target="http://www.aavso.org/sites/default/files/jaavso/v36n2/171.pdf" TargetMode="External"/><Relationship Id="rId14" Type="http://schemas.openxmlformats.org/officeDocument/2006/relationships/hyperlink" Target="http://www.bav-astro.de/sfs/BAVM_link.php?BAVMnr=2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33"/>
  <sheetViews>
    <sheetView tabSelected="1" workbookViewId="0">
      <pane xSplit="14" ySplit="22" topLeftCell="O113" activePane="bottomRight" state="frozen"/>
      <selection pane="topRight" activeCell="O1" sqref="O1"/>
      <selection pane="bottomLeft" activeCell="A23" sqref="A23"/>
      <selection pane="bottomRight" activeCell="E17" sqref="E17"/>
    </sheetView>
  </sheetViews>
  <sheetFormatPr defaultColWidth="10.28515625" defaultRowHeight="12.75" x14ac:dyDescent="0.2"/>
  <cols>
    <col min="1" max="1" width="16.140625" style="1" customWidth="1"/>
    <col min="2" max="2" width="5.140625" style="1" customWidth="1"/>
    <col min="3" max="3" width="13.140625" style="1" customWidth="1"/>
    <col min="4" max="4" width="9.42578125" style="1" customWidth="1"/>
    <col min="5" max="5" width="11.14062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03" customWidth="1"/>
    <col min="18" max="16384" width="10.28515625" style="1"/>
  </cols>
  <sheetData>
    <row r="1" spans="1:23" ht="20.25" x14ac:dyDescent="0.3">
      <c r="A1" s="2" t="s">
        <v>0</v>
      </c>
      <c r="B1" s="3"/>
      <c r="C1" s="4"/>
      <c r="D1" s="4"/>
      <c r="Q1" s="1"/>
      <c r="V1" s="5" t="s">
        <v>1</v>
      </c>
      <c r="W1" s="6" t="s">
        <v>2</v>
      </c>
    </row>
    <row r="2" spans="1:23" s="31" customFormat="1" ht="12.95" customHeight="1" x14ac:dyDescent="0.2">
      <c r="A2" s="31" t="s">
        <v>3</v>
      </c>
      <c r="B2" s="32" t="s">
        <v>429</v>
      </c>
      <c r="C2" s="33"/>
      <c r="D2" s="91"/>
      <c r="E2" s="96" t="s">
        <v>428</v>
      </c>
      <c r="F2" s="97" t="s">
        <v>427</v>
      </c>
      <c r="V2" s="31">
        <v>-2000</v>
      </c>
      <c r="W2" s="31">
        <f t="shared" ref="W2:W17" si="0">+D$11+D$12*V2+D$13*V2^2</f>
        <v>-4.5476482946250771E-2</v>
      </c>
    </row>
    <row r="3" spans="1:23" s="31" customFormat="1" ht="12.95" customHeight="1" x14ac:dyDescent="0.2">
      <c r="B3" s="32"/>
      <c r="C3" s="34"/>
      <c r="D3" s="92"/>
      <c r="E3" s="94" t="s">
        <v>18</v>
      </c>
      <c r="F3" s="98">
        <v>1</v>
      </c>
      <c r="V3" s="31">
        <v>-1000</v>
      </c>
      <c r="W3" s="31">
        <f t="shared" si="0"/>
        <v>-2.4584321222774506E-2</v>
      </c>
    </row>
    <row r="4" spans="1:23" s="31" customFormat="1" ht="12.95" customHeight="1" x14ac:dyDescent="0.2">
      <c r="A4" s="35" t="s">
        <v>4</v>
      </c>
      <c r="B4" s="36"/>
      <c r="C4" s="37">
        <v>25900.386999999999</v>
      </c>
      <c r="D4" s="93">
        <v>2.15116</v>
      </c>
      <c r="E4" s="94" t="s">
        <v>20</v>
      </c>
      <c r="F4" s="99">
        <f ca="1">NOW()+15018.5+$C$5/24</f>
        <v>60682.80598020833</v>
      </c>
      <c r="V4" s="31">
        <v>0</v>
      </c>
      <c r="W4" s="31">
        <f t="shared" si="0"/>
        <v>-9.369159829266999E-3</v>
      </c>
    </row>
    <row r="5" spans="1:23" s="31" customFormat="1" ht="12.95" customHeight="1" x14ac:dyDescent="0.2">
      <c r="A5" s="38" t="s">
        <v>5</v>
      </c>
      <c r="C5" s="39">
        <v>-9.5</v>
      </c>
      <c r="D5" s="31" t="s">
        <v>6</v>
      </c>
      <c r="E5" s="94" t="s">
        <v>22</v>
      </c>
      <c r="F5" s="99">
        <f ca="1">ROUND(2*($F$4-$C$7)/$C$8,0)/2+$F$3</f>
        <v>16170</v>
      </c>
      <c r="V5" s="31">
        <v>1000</v>
      </c>
      <c r="W5" s="31">
        <f t="shared" si="0"/>
        <v>1.6900123427174936E-4</v>
      </c>
    </row>
    <row r="6" spans="1:23" s="31" customFormat="1" ht="12.95" customHeight="1" x14ac:dyDescent="0.2">
      <c r="A6" s="35" t="s">
        <v>7</v>
      </c>
      <c r="E6" s="94" t="s">
        <v>24</v>
      </c>
      <c r="F6" s="99">
        <f ca="1">ROUND(2*($F$4-$C$15)/$C$16,0)/2+$F$3</f>
        <v>144.5</v>
      </c>
      <c r="V6" s="31">
        <v>2000</v>
      </c>
      <c r="W6" s="31">
        <f t="shared" si="0"/>
        <v>4.0301619678417382E-3</v>
      </c>
    </row>
    <row r="7" spans="1:23" s="31" customFormat="1" ht="12.95" customHeight="1" x14ac:dyDescent="0.2">
      <c r="A7" s="31" t="s">
        <v>8</v>
      </c>
      <c r="C7" s="31">
        <f>+C4</f>
        <v>25900.386999999999</v>
      </c>
      <c r="E7" s="94" t="s">
        <v>425</v>
      </c>
      <c r="F7" s="100">
        <f ca="1">+$C$15+$C$16*$F$6-15018.5-$C$5/24</f>
        <v>45667.09683947781</v>
      </c>
      <c r="V7" s="31">
        <v>3000</v>
      </c>
      <c r="W7" s="31">
        <f t="shared" si="0"/>
        <v>2.2143223714429679E-3</v>
      </c>
    </row>
    <row r="8" spans="1:23" s="31" customFormat="1" ht="12.95" customHeight="1" x14ac:dyDescent="0.2">
      <c r="A8" s="31" t="s">
        <v>9</v>
      </c>
      <c r="C8" s="31">
        <v>2.15116</v>
      </c>
      <c r="E8" s="95" t="s">
        <v>426</v>
      </c>
      <c r="F8" s="101">
        <f ca="1">+($C$15+$C$16*$F$6)-($C$16/2)-15018.5-$C$5/24</f>
        <v>45666.02128912133</v>
      </c>
      <c r="V8" s="31">
        <v>4000</v>
      </c>
      <c r="W8" s="31">
        <f t="shared" si="0"/>
        <v>-5.2785175549245611E-3</v>
      </c>
    </row>
    <row r="9" spans="1:23" s="31" customFormat="1" ht="12.95" customHeight="1" x14ac:dyDescent="0.2">
      <c r="A9" s="40" t="s">
        <v>10</v>
      </c>
      <c r="B9" s="41">
        <v>100</v>
      </c>
      <c r="C9" s="42" t="str">
        <f>"F"&amp;B9</f>
        <v>F100</v>
      </c>
      <c r="D9" s="43" t="str">
        <f>"G"&amp;B9</f>
        <v>G100</v>
      </c>
      <c r="V9" s="31">
        <v>5000</v>
      </c>
      <c r="W9" s="31">
        <f t="shared" si="0"/>
        <v>-1.8448357811260856E-2</v>
      </c>
    </row>
    <row r="10" spans="1:23" s="31" customFormat="1" ht="12.95" customHeight="1" x14ac:dyDescent="0.2">
      <c r="C10" s="44" t="s">
        <v>11</v>
      </c>
      <c r="D10" s="44" t="s">
        <v>12</v>
      </c>
      <c r="V10" s="31">
        <v>6000</v>
      </c>
      <c r="W10" s="31">
        <f t="shared" si="0"/>
        <v>-3.7295198397565912E-2</v>
      </c>
    </row>
    <row r="11" spans="1:23" s="31" customFormat="1" ht="12.95" customHeight="1" x14ac:dyDescent="0.2">
      <c r="A11" s="31" t="s">
        <v>13</v>
      </c>
      <c r="C11" s="43">
        <f ca="1">INTERCEPT(INDIRECT($D$9):G991,INDIRECT($C$9):F991)</f>
        <v>0.43992734083467683</v>
      </c>
      <c r="D11" s="45">
        <f>+E11*F11</f>
        <v>-9.369159829266999E-3</v>
      </c>
      <c r="E11" s="46">
        <v>-93.691598292669994</v>
      </c>
      <c r="F11" s="47">
        <v>1E-4</v>
      </c>
      <c r="V11" s="31">
        <v>7000</v>
      </c>
      <c r="W11" s="31">
        <f t="shared" si="0"/>
        <v>-6.1819039313839724E-2</v>
      </c>
    </row>
    <row r="12" spans="1:23" s="31" customFormat="1" ht="12.95" customHeight="1" x14ac:dyDescent="0.2">
      <c r="A12" s="31" t="s">
        <v>14</v>
      </c>
      <c r="C12" s="43">
        <f ca="1">SLOPE(INDIRECT($D$9):G991,INDIRECT($C$9):F991)</f>
        <v>-5.9287047176216489E-5</v>
      </c>
      <c r="D12" s="45">
        <f>+E12*F12</f>
        <v>1.2376661228523128E-5</v>
      </c>
      <c r="E12" s="48">
        <v>12.376661228523128</v>
      </c>
      <c r="F12" s="47">
        <v>9.9999999999999995E-7</v>
      </c>
      <c r="V12" s="31">
        <v>8000</v>
      </c>
      <c r="W12" s="31">
        <f t="shared" si="0"/>
        <v>-9.2019880560082284E-2</v>
      </c>
    </row>
    <row r="13" spans="1:23" s="31" customFormat="1" ht="12.95" customHeight="1" x14ac:dyDescent="0.2">
      <c r="A13" s="31" t="s">
        <v>15</v>
      </c>
      <c r="C13" s="45" t="s">
        <v>16</v>
      </c>
      <c r="D13" s="45">
        <f>+E13*F13</f>
        <v>-2.8385001649843798E-9</v>
      </c>
      <c r="E13" s="49">
        <v>-2.8385001649843797</v>
      </c>
      <c r="F13" s="47">
        <v>1.0000000000000001E-9</v>
      </c>
      <c r="V13" s="31">
        <v>9000</v>
      </c>
      <c r="W13" s="31">
        <f t="shared" si="0"/>
        <v>-0.12789772213629361</v>
      </c>
    </row>
    <row r="14" spans="1:23" s="31" customFormat="1" ht="12.95" customHeight="1" x14ac:dyDescent="0.2">
      <c r="E14" s="31">
        <f>SUM(S21:S949)</f>
        <v>2.0119276758847775E-2</v>
      </c>
      <c r="V14" s="31">
        <v>10000</v>
      </c>
      <c r="W14" s="31">
        <f t="shared" si="0"/>
        <v>-0.16945256404247372</v>
      </c>
    </row>
    <row r="15" spans="1:23" s="31" customFormat="1" ht="12.95" customHeight="1" x14ac:dyDescent="0.2">
      <c r="A15" s="35" t="s">
        <v>17</v>
      </c>
      <c r="C15" s="50">
        <f ca="1">(C7+C11)+(C8+C12)*INT(MAX(F21:F3532))</f>
        <v>60374.366953122793</v>
      </c>
      <c r="D15" s="43">
        <f>+C7+INT(MAX(F21:F1587))*C8+D11+D12*INT(MAX(F21:F4022))+D13*INT(MAX(F21:F4049)^2)</f>
        <v>60374.33711961982</v>
      </c>
      <c r="E15" s="40"/>
      <c r="F15" s="39"/>
      <c r="V15" s="31">
        <v>11000</v>
      </c>
      <c r="W15" s="31">
        <f t="shared" si="0"/>
        <v>-0.21668440627862254</v>
      </c>
    </row>
    <row r="16" spans="1:23" s="31" customFormat="1" ht="12.95" customHeight="1" x14ac:dyDescent="0.2">
      <c r="A16" s="35" t="s">
        <v>19</v>
      </c>
      <c r="C16" s="50">
        <f ca="1">+C8+C12</f>
        <v>2.1511007129528239</v>
      </c>
      <c r="D16" s="43">
        <f>+C8+D12+2*D13*MAX(F21:F895)</f>
        <v>2.1510813970539404</v>
      </c>
      <c r="E16" s="40"/>
      <c r="F16" s="43"/>
      <c r="V16" s="31">
        <v>12000</v>
      </c>
      <c r="W16" s="31">
        <f t="shared" si="0"/>
        <v>-0.26959324884474017</v>
      </c>
    </row>
    <row r="17" spans="1:23" s="31" customFormat="1" ht="12.95" customHeight="1" x14ac:dyDescent="0.2">
      <c r="A17" s="40" t="s">
        <v>21</v>
      </c>
      <c r="C17" s="31">
        <f>COUNT(C21:C2190)</f>
        <v>105</v>
      </c>
      <c r="E17" s="40"/>
      <c r="F17" s="43"/>
      <c r="V17" s="31">
        <v>13000</v>
      </c>
      <c r="W17" s="31">
        <f t="shared" si="0"/>
        <v>-0.32817909174082649</v>
      </c>
    </row>
    <row r="18" spans="1:23" s="31" customFormat="1" ht="12.95" customHeight="1" x14ac:dyDescent="0.2">
      <c r="A18" s="35" t="s">
        <v>23</v>
      </c>
      <c r="C18" s="51">
        <f ca="1">+C15</f>
        <v>60374.366953122793</v>
      </c>
      <c r="D18" s="52">
        <f ca="1">C16</f>
        <v>2.1511007129528239</v>
      </c>
      <c r="E18" s="40"/>
      <c r="F18" s="43"/>
      <c r="V18" s="31">
        <v>14000</v>
      </c>
      <c r="W18" s="31">
        <f>+D$11+D$12*V18+D$13*V18^2</f>
        <v>-0.39244193496688168</v>
      </c>
    </row>
    <row r="19" spans="1:23" s="31" customFormat="1" ht="12.95" customHeight="1" x14ac:dyDescent="0.2">
      <c r="A19" s="35" t="s">
        <v>25</v>
      </c>
      <c r="C19" s="53">
        <f>+D15</f>
        <v>60374.33711961982</v>
      </c>
      <c r="D19" s="54">
        <f>+D16</f>
        <v>2.1510813970539404</v>
      </c>
      <c r="E19" s="40"/>
      <c r="F19" s="55"/>
      <c r="V19" s="31">
        <v>15000</v>
      </c>
      <c r="W19" s="31">
        <f>+D$11+D$12*V19+D$13*V19^2</f>
        <v>-0.46238177852290552</v>
      </c>
    </row>
    <row r="20" spans="1:23" s="31" customFormat="1" ht="12.95" customHeight="1" x14ac:dyDescent="0.2">
      <c r="A20" s="44" t="s">
        <v>26</v>
      </c>
      <c r="B20" s="44" t="s">
        <v>27</v>
      </c>
      <c r="C20" s="44" t="s">
        <v>28</v>
      </c>
      <c r="D20" s="44" t="s">
        <v>29</v>
      </c>
      <c r="E20" s="44" t="s">
        <v>30</v>
      </c>
      <c r="F20" s="44" t="s">
        <v>1</v>
      </c>
      <c r="G20" s="44" t="s">
        <v>31</v>
      </c>
      <c r="H20" s="56" t="s">
        <v>32</v>
      </c>
      <c r="I20" s="56" t="s">
        <v>33</v>
      </c>
      <c r="J20" s="56" t="s">
        <v>34</v>
      </c>
      <c r="K20" s="56" t="s">
        <v>35</v>
      </c>
      <c r="L20" s="56" t="s">
        <v>36</v>
      </c>
      <c r="M20" s="56" t="s">
        <v>37</v>
      </c>
      <c r="N20" s="56" t="s">
        <v>38</v>
      </c>
      <c r="O20" s="56" t="s">
        <v>39</v>
      </c>
      <c r="P20" s="57" t="s">
        <v>2</v>
      </c>
      <c r="Q20" s="44" t="s">
        <v>40</v>
      </c>
      <c r="S20" s="56" t="s">
        <v>41</v>
      </c>
      <c r="T20" s="56" t="s">
        <v>42</v>
      </c>
      <c r="U20" s="58" t="s">
        <v>43</v>
      </c>
    </row>
    <row r="21" spans="1:23" s="31" customFormat="1" ht="12.95" customHeight="1" x14ac:dyDescent="0.2">
      <c r="A21" s="59" t="s">
        <v>44</v>
      </c>
      <c r="B21" s="60" t="s">
        <v>45</v>
      </c>
      <c r="C21" s="59">
        <v>25889.64</v>
      </c>
      <c r="D21" s="84"/>
      <c r="E21" s="31">
        <f t="shared" ref="E21:E52" si="1">+(C21-C$7)/C$8</f>
        <v>-4.9959091838819001</v>
      </c>
      <c r="F21" s="31">
        <f t="shared" ref="F21:F52" si="2">ROUND(2*E21,0)/2</f>
        <v>-5</v>
      </c>
      <c r="G21" s="31">
        <f>+C21-(C$7+F21*C$8)</f>
        <v>8.7999999996100087E-3</v>
      </c>
      <c r="H21" s="31">
        <f>+G21</f>
        <v>8.7999999996100087E-3</v>
      </c>
      <c r="P21" s="40">
        <f t="shared" ref="P21:P52" si="3">+D$11+D$12*F21+D$13*F21^2</f>
        <v>-9.4311140979137387E-3</v>
      </c>
      <c r="Q21" s="102">
        <f t="shared" ref="Q21:Q52" si="4">+C21-15018.5</f>
        <v>10871.14</v>
      </c>
      <c r="S21" s="31">
        <f t="shared" ref="S21:S52" si="5">+(P21-G21)^2</f>
        <v>3.3237352123692906E-4</v>
      </c>
      <c r="T21" s="31" t="e">
        <f>+#REF!*S21</f>
        <v>#REF!</v>
      </c>
      <c r="U21" s="61"/>
    </row>
    <row r="22" spans="1:23" s="31" customFormat="1" ht="12.95" customHeight="1" x14ac:dyDescent="0.2">
      <c r="A22" s="33" t="s">
        <v>46</v>
      </c>
      <c r="B22" s="32"/>
      <c r="C22" s="62">
        <v>25900.386999999999</v>
      </c>
      <c r="D22" s="63"/>
      <c r="E22" s="31">
        <f t="shared" si="1"/>
        <v>0</v>
      </c>
      <c r="F22" s="31">
        <f t="shared" si="2"/>
        <v>0</v>
      </c>
      <c r="H22" s="43">
        <v>0</v>
      </c>
      <c r="P22" s="40">
        <f t="shared" si="3"/>
        <v>-9.369159829266999E-3</v>
      </c>
      <c r="Q22" s="102">
        <f t="shared" si="4"/>
        <v>10881.886999999999</v>
      </c>
      <c r="S22" s="31">
        <f t="shared" si="5"/>
        <v>8.7781155906350417E-5</v>
      </c>
    </row>
    <row r="23" spans="1:23" s="31" customFormat="1" ht="12.95" customHeight="1" x14ac:dyDescent="0.2">
      <c r="A23" s="64" t="s">
        <v>44</v>
      </c>
      <c r="B23" s="65" t="s">
        <v>45</v>
      </c>
      <c r="C23" s="64">
        <v>25941.262999999999</v>
      </c>
      <c r="D23" s="85"/>
      <c r="E23" s="31">
        <f t="shared" si="1"/>
        <v>19.001840867253112</v>
      </c>
      <c r="F23" s="31">
        <f t="shared" si="2"/>
        <v>19</v>
      </c>
      <c r="G23" s="31">
        <f t="shared" ref="G23:G54" si="6">+C23-(C$7+F23*C$8)</f>
        <v>3.9600000018253922E-3</v>
      </c>
      <c r="H23" s="31">
        <f t="shared" ref="H23:H54" si="7">+G23</f>
        <v>3.9600000018253922E-3</v>
      </c>
      <c r="P23" s="40">
        <f t="shared" si="3"/>
        <v>-9.1350279644846193E-3</v>
      </c>
      <c r="Q23" s="102">
        <f t="shared" si="4"/>
        <v>10922.762999999999</v>
      </c>
      <c r="S23" s="31">
        <f t="shared" si="5"/>
        <v>1.7147975743844133E-4</v>
      </c>
    </row>
    <row r="24" spans="1:23" s="31" customFormat="1" ht="12.95" customHeight="1" x14ac:dyDescent="0.2">
      <c r="A24" s="64" t="s">
        <v>44</v>
      </c>
      <c r="B24" s="65" t="s">
        <v>45</v>
      </c>
      <c r="C24" s="64">
        <v>26330.615000000002</v>
      </c>
      <c r="D24" s="85"/>
      <c r="E24" s="31">
        <f t="shared" si="1"/>
        <v>199.99814053812958</v>
      </c>
      <c r="F24" s="31">
        <f t="shared" si="2"/>
        <v>200</v>
      </c>
      <c r="G24" s="31">
        <f t="shared" si="6"/>
        <v>-3.9999999971769284E-3</v>
      </c>
      <c r="H24" s="31">
        <f t="shared" si="7"/>
        <v>-3.9999999971769284E-3</v>
      </c>
      <c r="P24" s="40">
        <f t="shared" si="3"/>
        <v>-7.0073675901617489E-3</v>
      </c>
      <c r="Q24" s="102">
        <f t="shared" si="4"/>
        <v>11312.115000000002</v>
      </c>
      <c r="S24" s="31">
        <f t="shared" si="5"/>
        <v>9.044259839335312E-6</v>
      </c>
    </row>
    <row r="25" spans="1:23" s="31" customFormat="1" ht="12.95" customHeight="1" x14ac:dyDescent="0.2">
      <c r="A25" s="64" t="s">
        <v>44</v>
      </c>
      <c r="B25" s="65" t="s">
        <v>45</v>
      </c>
      <c r="C25" s="64">
        <v>26354.275000000001</v>
      </c>
      <c r="D25" s="85"/>
      <c r="E25" s="31">
        <f t="shared" si="1"/>
        <v>210.996857509438</v>
      </c>
      <c r="F25" s="31">
        <f t="shared" si="2"/>
        <v>211</v>
      </c>
      <c r="G25" s="31">
        <f t="shared" si="6"/>
        <v>-6.7599999965750612E-3</v>
      </c>
      <c r="H25" s="31">
        <f t="shared" si="7"/>
        <v>-6.7599999965750612E-3</v>
      </c>
      <c r="P25" s="40">
        <f t="shared" si="3"/>
        <v>-6.8840571758938878E-3</v>
      </c>
      <c r="Q25" s="102">
        <f t="shared" si="4"/>
        <v>11335.775000000001</v>
      </c>
      <c r="S25" s="31">
        <f t="shared" si="5"/>
        <v>1.5390183740543502E-8</v>
      </c>
    </row>
    <row r="26" spans="1:23" s="31" customFormat="1" ht="12.95" customHeight="1" x14ac:dyDescent="0.2">
      <c r="A26" s="64" t="s">
        <v>44</v>
      </c>
      <c r="B26" s="65" t="s">
        <v>45</v>
      </c>
      <c r="C26" s="64">
        <v>26427.38</v>
      </c>
      <c r="D26" s="85"/>
      <c r="E26" s="31">
        <f t="shared" si="1"/>
        <v>244.98084754272216</v>
      </c>
      <c r="F26" s="31">
        <f t="shared" si="2"/>
        <v>245</v>
      </c>
      <c r="G26" s="31">
        <f t="shared" si="6"/>
        <v>-4.1199999996024417E-2</v>
      </c>
      <c r="H26" s="31">
        <f t="shared" si="7"/>
        <v>-4.1199999996024417E-2</v>
      </c>
      <c r="P26" s="40">
        <f t="shared" si="3"/>
        <v>-6.5072588006820191E-3</v>
      </c>
      <c r="Q26" s="102">
        <f t="shared" si="4"/>
        <v>11408.880000000001</v>
      </c>
      <c r="S26" s="31">
        <f t="shared" si="5"/>
        <v>1.2035862916470073E-3</v>
      </c>
    </row>
    <row r="27" spans="1:23" s="31" customFormat="1" ht="12.95" customHeight="1" x14ac:dyDescent="0.2">
      <c r="A27" s="64" t="s">
        <v>44</v>
      </c>
      <c r="B27" s="65" t="s">
        <v>45</v>
      </c>
      <c r="C27" s="64">
        <v>26440.316999999999</v>
      </c>
      <c r="D27" s="85"/>
      <c r="E27" s="31">
        <f t="shared" si="1"/>
        <v>250.99481210137799</v>
      </c>
      <c r="F27" s="31">
        <f t="shared" si="2"/>
        <v>251</v>
      </c>
      <c r="G27" s="31">
        <f t="shared" si="6"/>
        <v>-1.1159999998199055E-2</v>
      </c>
      <c r="H27" s="31">
        <f t="shared" si="7"/>
        <v>-1.1159999998199055E-2</v>
      </c>
      <c r="P27" s="40">
        <f t="shared" si="3"/>
        <v>-6.4414462098018746E-3</v>
      </c>
      <c r="Q27" s="102">
        <f t="shared" si="4"/>
        <v>11421.816999999999</v>
      </c>
      <c r="S27" s="31">
        <f t="shared" si="5"/>
        <v>2.2264749853997382E-5</v>
      </c>
    </row>
    <row r="28" spans="1:23" s="31" customFormat="1" ht="12.95" customHeight="1" x14ac:dyDescent="0.2">
      <c r="A28" s="64" t="s">
        <v>44</v>
      </c>
      <c r="B28" s="65" t="s">
        <v>45</v>
      </c>
      <c r="C28" s="64">
        <v>26653.277999999998</v>
      </c>
      <c r="D28" s="85"/>
      <c r="E28" s="31">
        <f t="shared" si="1"/>
        <v>349.99302701798081</v>
      </c>
      <c r="F28" s="31">
        <f t="shared" si="2"/>
        <v>350</v>
      </c>
      <c r="G28" s="31">
        <f t="shared" si="6"/>
        <v>-1.4999999999417923E-2</v>
      </c>
      <c r="H28" s="31">
        <f t="shared" si="7"/>
        <v>-1.4999999999417923E-2</v>
      </c>
      <c r="P28" s="40">
        <f t="shared" si="3"/>
        <v>-5.3850446694944905E-3</v>
      </c>
      <c r="Q28" s="102">
        <f t="shared" si="4"/>
        <v>11634.777999999998</v>
      </c>
      <c r="S28" s="31">
        <f t="shared" si="5"/>
        <v>9.2447365996423046E-5</v>
      </c>
    </row>
    <row r="29" spans="1:23" s="31" customFormat="1" ht="12.95" customHeight="1" x14ac:dyDescent="0.2">
      <c r="A29" s="64" t="s">
        <v>44</v>
      </c>
      <c r="B29" s="65" t="s">
        <v>45</v>
      </c>
      <c r="C29" s="64">
        <v>27694.45</v>
      </c>
      <c r="D29" s="85"/>
      <c r="E29" s="31">
        <f t="shared" si="1"/>
        <v>833.99793599732334</v>
      </c>
      <c r="F29" s="31">
        <f t="shared" si="2"/>
        <v>834</v>
      </c>
      <c r="G29" s="31">
        <f t="shared" si="6"/>
        <v>-4.4399999969755299E-3</v>
      </c>
      <c r="H29" s="31">
        <f t="shared" si="7"/>
        <v>-4.4399999969755299E-3</v>
      </c>
      <c r="P29" s="40">
        <f t="shared" si="3"/>
        <v>-1.0213601854345868E-3</v>
      </c>
      <c r="Q29" s="102">
        <f t="shared" si="4"/>
        <v>12675.95</v>
      </c>
      <c r="S29" s="31">
        <f t="shared" si="5"/>
        <v>1.1687098161052696E-5</v>
      </c>
    </row>
    <row r="30" spans="1:23" s="31" customFormat="1" ht="12.95" customHeight="1" x14ac:dyDescent="0.2">
      <c r="A30" s="64" t="s">
        <v>44</v>
      </c>
      <c r="B30" s="65" t="s">
        <v>45</v>
      </c>
      <c r="C30" s="64">
        <v>27696.591</v>
      </c>
      <c r="D30" s="85"/>
      <c r="E30" s="31">
        <f t="shared" si="1"/>
        <v>834.99321296416895</v>
      </c>
      <c r="F30" s="31">
        <f t="shared" si="2"/>
        <v>835</v>
      </c>
      <c r="G30" s="31">
        <f t="shared" si="6"/>
        <v>-1.4599999998608837E-2</v>
      </c>
      <c r="H30" s="31">
        <f t="shared" si="7"/>
        <v>-1.4599999998608837E-2</v>
      </c>
      <c r="P30" s="40">
        <f t="shared" si="3"/>
        <v>-1.0137209809814225E-3</v>
      </c>
      <c r="Q30" s="102">
        <f t="shared" si="4"/>
        <v>12678.091</v>
      </c>
      <c r="S30" s="31">
        <f t="shared" si="5"/>
        <v>1.8458697754482296E-4</v>
      </c>
    </row>
    <row r="31" spans="1:23" s="31" customFormat="1" ht="12.95" customHeight="1" x14ac:dyDescent="0.2">
      <c r="A31" s="64" t="s">
        <v>44</v>
      </c>
      <c r="B31" s="65" t="s">
        <v>45</v>
      </c>
      <c r="C31" s="64">
        <v>27696.593000000001</v>
      </c>
      <c r="D31" s="85"/>
      <c r="E31" s="31">
        <f t="shared" si="1"/>
        <v>834.99414269510498</v>
      </c>
      <c r="F31" s="31">
        <f t="shared" si="2"/>
        <v>835</v>
      </c>
      <c r="G31" s="31">
        <f t="shared" si="6"/>
        <v>-1.2599999998201383E-2</v>
      </c>
      <c r="H31" s="31">
        <f t="shared" si="7"/>
        <v>-1.2599999998201383E-2</v>
      </c>
      <c r="P31" s="40">
        <f t="shared" si="3"/>
        <v>-1.0137209809814225E-3</v>
      </c>
      <c r="Q31" s="102">
        <f t="shared" si="4"/>
        <v>12678.093000000001</v>
      </c>
      <c r="S31" s="31">
        <f t="shared" si="5"/>
        <v>1.3424186146487156E-4</v>
      </c>
    </row>
    <row r="32" spans="1:23" s="31" customFormat="1" ht="12.95" customHeight="1" x14ac:dyDescent="0.2">
      <c r="A32" s="64" t="s">
        <v>44</v>
      </c>
      <c r="B32" s="65" t="s">
        <v>45</v>
      </c>
      <c r="C32" s="64">
        <v>27752.532999999999</v>
      </c>
      <c r="D32" s="85"/>
      <c r="E32" s="31">
        <f t="shared" si="1"/>
        <v>860.9987169713088</v>
      </c>
      <c r="F32" s="31">
        <f t="shared" si="2"/>
        <v>861</v>
      </c>
      <c r="G32" s="31">
        <f t="shared" si="6"/>
        <v>-2.7599999993981328E-3</v>
      </c>
      <c r="H32" s="31">
        <f t="shared" si="7"/>
        <v>-2.7599999993981328E-3</v>
      </c>
      <c r="P32" s="40">
        <f t="shared" si="3"/>
        <v>-8.1709429231497169E-4</v>
      </c>
      <c r="Q32" s="102">
        <f t="shared" si="4"/>
        <v>12734.032999999999</v>
      </c>
      <c r="S32" s="31">
        <f t="shared" si="5"/>
        <v>3.7748825866163183E-6</v>
      </c>
    </row>
    <row r="33" spans="1:19" s="31" customFormat="1" ht="12.95" customHeight="1" x14ac:dyDescent="0.2">
      <c r="A33" s="64" t="s">
        <v>44</v>
      </c>
      <c r="B33" s="65" t="s">
        <v>45</v>
      </c>
      <c r="C33" s="64">
        <v>27862.251</v>
      </c>
      <c r="D33" s="85"/>
      <c r="E33" s="31">
        <f t="shared" si="1"/>
        <v>912.00282638204567</v>
      </c>
      <c r="F33" s="31">
        <f t="shared" si="2"/>
        <v>912</v>
      </c>
      <c r="G33" s="31">
        <f t="shared" si="6"/>
        <v>6.0800000028393697E-3</v>
      </c>
      <c r="H33" s="31">
        <f t="shared" si="7"/>
        <v>6.0800000028393697E-3</v>
      </c>
      <c r="P33" s="40">
        <f t="shared" si="3"/>
        <v>-4.4255027007867416E-4</v>
      </c>
      <c r="Q33" s="102">
        <f t="shared" si="4"/>
        <v>12843.751</v>
      </c>
      <c r="S33" s="31">
        <f t="shared" si="5"/>
        <v>4.2543662062743254E-5</v>
      </c>
    </row>
    <row r="34" spans="1:19" s="31" customFormat="1" ht="12.95" customHeight="1" x14ac:dyDescent="0.2">
      <c r="A34" s="64" t="s">
        <v>44</v>
      </c>
      <c r="B34" s="65" t="s">
        <v>45</v>
      </c>
      <c r="C34" s="64">
        <v>28094.559000000001</v>
      </c>
      <c r="D34" s="85"/>
      <c r="E34" s="31">
        <f t="shared" si="1"/>
        <v>1019.9947935067602</v>
      </c>
      <c r="F34" s="31">
        <f t="shared" si="2"/>
        <v>1020</v>
      </c>
      <c r="G34" s="31">
        <f t="shared" si="6"/>
        <v>-1.119999999718857E-2</v>
      </c>
      <c r="H34" s="31">
        <f t="shared" si="7"/>
        <v>-1.119999999718857E-2</v>
      </c>
      <c r="P34" s="40">
        <f t="shared" si="3"/>
        <v>3.0185905217684252E-4</v>
      </c>
      <c r="Q34" s="102">
        <f t="shared" si="4"/>
        <v>13076.059000000001</v>
      </c>
      <c r="S34" s="31">
        <f t="shared" si="5"/>
        <v>1.3229276159146903E-4</v>
      </c>
    </row>
    <row r="35" spans="1:19" s="31" customFormat="1" ht="12.95" customHeight="1" x14ac:dyDescent="0.2">
      <c r="A35" s="64" t="s">
        <v>44</v>
      </c>
      <c r="B35" s="65" t="s">
        <v>45</v>
      </c>
      <c r="C35" s="64">
        <v>28165.544000000002</v>
      </c>
      <c r="D35" s="85"/>
      <c r="E35" s="31">
        <f t="shared" si="1"/>
        <v>1052.9932687480257</v>
      </c>
      <c r="F35" s="31">
        <f t="shared" si="2"/>
        <v>1053</v>
      </c>
      <c r="G35" s="31">
        <f t="shared" si="6"/>
        <v>-1.4479999998002313E-2</v>
      </c>
      <c r="H35" s="31">
        <f t="shared" si="7"/>
        <v>-1.4479999998002313E-2</v>
      </c>
      <c r="P35" s="40">
        <f t="shared" si="3"/>
        <v>5.1610991493168971E-4</v>
      </c>
      <c r="Q35" s="102">
        <f t="shared" si="4"/>
        <v>13147.044000000002</v>
      </c>
      <c r="S35" s="31">
        <f t="shared" si="5"/>
        <v>2.2488331252079748E-4</v>
      </c>
    </row>
    <row r="36" spans="1:19" s="31" customFormat="1" ht="12.95" customHeight="1" x14ac:dyDescent="0.2">
      <c r="A36" s="64" t="s">
        <v>44</v>
      </c>
      <c r="B36" s="65" t="s">
        <v>45</v>
      </c>
      <c r="C36" s="64">
        <v>28548.455999999998</v>
      </c>
      <c r="D36" s="85"/>
      <c r="E36" s="31">
        <f t="shared" si="1"/>
        <v>1230.9958348054072</v>
      </c>
      <c r="F36" s="31">
        <f t="shared" si="2"/>
        <v>1231</v>
      </c>
      <c r="G36" s="31">
        <f t="shared" si="6"/>
        <v>-8.9599999992060475E-3</v>
      </c>
      <c r="H36" s="31">
        <f t="shared" si="7"/>
        <v>-8.9599999992060475E-3</v>
      </c>
      <c r="P36" s="40">
        <f t="shared" si="3"/>
        <v>1.5651576945340771E-3</v>
      </c>
      <c r="Q36" s="102">
        <f t="shared" si="4"/>
        <v>13529.955999999998</v>
      </c>
      <c r="S36" s="31">
        <f t="shared" si="5"/>
        <v>1.1077894447809694E-4</v>
      </c>
    </row>
    <row r="37" spans="1:19" s="31" customFormat="1" ht="12.95" customHeight="1" x14ac:dyDescent="0.2">
      <c r="A37" s="64" t="s">
        <v>44</v>
      </c>
      <c r="B37" s="65" t="s">
        <v>45</v>
      </c>
      <c r="C37" s="64">
        <v>28804.454000000002</v>
      </c>
      <c r="D37" s="85"/>
      <c r="E37" s="31">
        <f t="shared" si="1"/>
        <v>1350.0004648654692</v>
      </c>
      <c r="F37" s="31">
        <f t="shared" si="2"/>
        <v>1350</v>
      </c>
      <c r="G37" s="31">
        <f t="shared" si="6"/>
        <v>1.0000000038417056E-3</v>
      </c>
      <c r="H37" s="31">
        <f t="shared" si="7"/>
        <v>1.0000000038417056E-3</v>
      </c>
      <c r="P37" s="40">
        <f t="shared" si="3"/>
        <v>2.1661662785551926E-3</v>
      </c>
      <c r="Q37" s="102">
        <f t="shared" si="4"/>
        <v>13785.954000000002</v>
      </c>
      <c r="S37" s="31">
        <f t="shared" si="5"/>
        <v>1.359943780279132E-6</v>
      </c>
    </row>
    <row r="38" spans="1:19" s="31" customFormat="1" ht="12.95" customHeight="1" x14ac:dyDescent="0.2">
      <c r="A38" s="64" t="s">
        <v>44</v>
      </c>
      <c r="B38" s="65" t="s">
        <v>45</v>
      </c>
      <c r="C38" s="64">
        <v>28832.428</v>
      </c>
      <c r="D38" s="85"/>
      <c r="E38" s="31">
        <f t="shared" si="1"/>
        <v>1363.0046114654424</v>
      </c>
      <c r="F38" s="31">
        <f t="shared" si="2"/>
        <v>1363</v>
      </c>
      <c r="G38" s="31">
        <f t="shared" si="6"/>
        <v>9.9200000004202593E-3</v>
      </c>
      <c r="H38" s="31">
        <f t="shared" si="7"/>
        <v>9.9200000004202593E-3</v>
      </c>
      <c r="P38" s="40">
        <f t="shared" si="3"/>
        <v>2.2269518122071561E-3</v>
      </c>
      <c r="Q38" s="102">
        <f t="shared" si="4"/>
        <v>13813.928</v>
      </c>
      <c r="S38" s="31">
        <f t="shared" si="5"/>
        <v>5.9182990426168912E-5</v>
      </c>
    </row>
    <row r="39" spans="1:19" s="31" customFormat="1" ht="12.95" customHeight="1" x14ac:dyDescent="0.2">
      <c r="A39" s="66" t="s">
        <v>44</v>
      </c>
      <c r="B39" s="67" t="s">
        <v>45</v>
      </c>
      <c r="C39" s="66">
        <v>28834.557000000001</v>
      </c>
      <c r="D39" s="86"/>
      <c r="E39" s="31">
        <f t="shared" si="1"/>
        <v>1363.9943100466735</v>
      </c>
      <c r="F39" s="31">
        <f t="shared" si="2"/>
        <v>1364</v>
      </c>
      <c r="G39" s="31">
        <f t="shared" si="6"/>
        <v>-1.2239999996381812E-2</v>
      </c>
      <c r="H39" s="31">
        <f t="shared" si="7"/>
        <v>-1.2239999996381812E-2</v>
      </c>
      <c r="P39" s="40">
        <f t="shared" si="3"/>
        <v>2.2315878834857682E-3</v>
      </c>
      <c r="Q39" s="102">
        <f t="shared" si="4"/>
        <v>13816.057000000001</v>
      </c>
      <c r="S39" s="31">
        <f t="shared" si="5"/>
        <v>2.0942685576473021E-4</v>
      </c>
    </row>
    <row r="40" spans="1:19" s="31" customFormat="1" ht="12.95" customHeight="1" x14ac:dyDescent="0.2">
      <c r="A40" s="66" t="s">
        <v>44</v>
      </c>
      <c r="B40" s="67" t="s">
        <v>45</v>
      </c>
      <c r="C40" s="66">
        <v>28834.574000000001</v>
      </c>
      <c r="D40" s="86"/>
      <c r="E40" s="31">
        <f t="shared" si="1"/>
        <v>1364.0022127596283</v>
      </c>
      <c r="F40" s="31">
        <f t="shared" si="2"/>
        <v>1364</v>
      </c>
      <c r="G40" s="31">
        <f t="shared" si="6"/>
        <v>4.7600000034435652E-3</v>
      </c>
      <c r="H40" s="31">
        <f t="shared" si="7"/>
        <v>4.7600000034435652E-3</v>
      </c>
      <c r="P40" s="40">
        <f t="shared" si="3"/>
        <v>2.2315878834857682E-3</v>
      </c>
      <c r="Q40" s="102">
        <f t="shared" si="4"/>
        <v>13816.074000000001</v>
      </c>
      <c r="S40" s="31">
        <f t="shared" si="5"/>
        <v>6.3928678483494812E-6</v>
      </c>
    </row>
    <row r="41" spans="1:19" s="31" customFormat="1" ht="12.95" customHeight="1" x14ac:dyDescent="0.2">
      <c r="A41" s="66" t="s">
        <v>44</v>
      </c>
      <c r="B41" s="67" t="s">
        <v>45</v>
      </c>
      <c r="C41" s="66">
        <v>30779.256000000001</v>
      </c>
      <c r="D41" s="86"/>
      <c r="E41" s="31">
        <f t="shared" si="1"/>
        <v>2268.0177206716389</v>
      </c>
      <c r="F41" s="31">
        <f t="shared" si="2"/>
        <v>2268</v>
      </c>
      <c r="G41" s="31">
        <f t="shared" si="6"/>
        <v>3.8120000004710164E-2</v>
      </c>
      <c r="H41" s="31">
        <f t="shared" si="7"/>
        <v>3.8120000004710164E-2</v>
      </c>
      <c r="P41" s="40">
        <f t="shared" si="3"/>
        <v>4.1003625643728399E-3</v>
      </c>
      <c r="Q41" s="102">
        <f t="shared" si="4"/>
        <v>15760.756000000001</v>
      </c>
      <c r="S41" s="31">
        <f t="shared" si="5"/>
        <v>1.1573357315720013E-3</v>
      </c>
    </row>
    <row r="42" spans="1:19" s="31" customFormat="1" ht="12.95" customHeight="1" x14ac:dyDescent="0.2">
      <c r="A42" s="66" t="s">
        <v>47</v>
      </c>
      <c r="B42" s="67" t="s">
        <v>45</v>
      </c>
      <c r="C42" s="66">
        <v>30783.530999999999</v>
      </c>
      <c r="D42" s="86"/>
      <c r="E42" s="31">
        <f t="shared" si="1"/>
        <v>2270.0050205470538</v>
      </c>
      <c r="F42" s="31">
        <f t="shared" si="2"/>
        <v>2270</v>
      </c>
      <c r="G42" s="31">
        <f t="shared" si="6"/>
        <v>1.0800000000017462E-2</v>
      </c>
      <c r="H42" s="31">
        <f t="shared" si="7"/>
        <v>1.0800000000017462E-2</v>
      </c>
      <c r="P42" s="40">
        <f t="shared" si="3"/>
        <v>4.0993536593324914E-3</v>
      </c>
      <c r="Q42" s="102">
        <f t="shared" si="4"/>
        <v>15765.030999999999</v>
      </c>
      <c r="S42" s="31">
        <f t="shared" si="5"/>
        <v>4.4898661382934892E-5</v>
      </c>
    </row>
    <row r="43" spans="1:19" s="31" customFormat="1" ht="12.95" customHeight="1" x14ac:dyDescent="0.2">
      <c r="A43" s="66" t="s">
        <v>44</v>
      </c>
      <c r="B43" s="67" t="s">
        <v>45</v>
      </c>
      <c r="C43" s="66">
        <v>30792.136999999999</v>
      </c>
      <c r="D43" s="86"/>
      <c r="E43" s="31">
        <f t="shared" si="1"/>
        <v>2274.00565276409</v>
      </c>
      <c r="F43" s="31">
        <f t="shared" si="2"/>
        <v>2274</v>
      </c>
      <c r="G43" s="31">
        <f t="shared" si="6"/>
        <v>1.2160000002040761E-2</v>
      </c>
      <c r="H43" s="31">
        <f t="shared" si="7"/>
        <v>1.2160000002040761E-2</v>
      </c>
      <c r="P43" s="40">
        <f t="shared" si="3"/>
        <v>4.097267725247827E-3</v>
      </c>
      <c r="Q43" s="102">
        <f t="shared" si="4"/>
        <v>15773.636999999999</v>
      </c>
      <c r="S43" s="31">
        <f t="shared" si="5"/>
        <v>6.5007651767238565E-5</v>
      </c>
    </row>
    <row r="44" spans="1:19" s="31" customFormat="1" ht="12.95" customHeight="1" x14ac:dyDescent="0.2">
      <c r="A44" s="66" t="s">
        <v>44</v>
      </c>
      <c r="B44" s="67" t="s">
        <v>45</v>
      </c>
      <c r="C44" s="66">
        <v>30796.452000000001</v>
      </c>
      <c r="D44" s="86"/>
      <c r="E44" s="31">
        <f t="shared" si="1"/>
        <v>2276.0115472582247</v>
      </c>
      <c r="F44" s="31">
        <f t="shared" si="2"/>
        <v>2276</v>
      </c>
      <c r="G44" s="31">
        <f t="shared" si="6"/>
        <v>2.4840000001859153E-2</v>
      </c>
      <c r="H44" s="31">
        <f t="shared" si="7"/>
        <v>2.4840000001859153E-2</v>
      </c>
      <c r="P44" s="40">
        <f t="shared" si="3"/>
        <v>4.0961906962035111E-3</v>
      </c>
      <c r="Q44" s="102">
        <f t="shared" si="4"/>
        <v>15777.952000000001</v>
      </c>
      <c r="S44" s="31">
        <f t="shared" si="5"/>
        <v>4.3030562450940558E-4</v>
      </c>
    </row>
    <row r="45" spans="1:19" s="31" customFormat="1" ht="12.95" customHeight="1" x14ac:dyDescent="0.2">
      <c r="A45" s="66" t="s">
        <v>47</v>
      </c>
      <c r="B45" s="67" t="s">
        <v>45</v>
      </c>
      <c r="C45" s="66">
        <v>31441.78</v>
      </c>
      <c r="D45" s="86"/>
      <c r="E45" s="31">
        <f t="shared" si="1"/>
        <v>2576.002249948865</v>
      </c>
      <c r="F45" s="31">
        <f t="shared" si="2"/>
        <v>2576</v>
      </c>
      <c r="G45" s="31">
        <f t="shared" si="6"/>
        <v>4.8400000014225952E-3</v>
      </c>
      <c r="H45" s="31">
        <f t="shared" si="7"/>
        <v>4.8400000014225952E-3</v>
      </c>
      <c r="P45" s="40">
        <f t="shared" si="3"/>
        <v>3.6774682246091921E-3</v>
      </c>
      <c r="Q45" s="102">
        <f t="shared" si="4"/>
        <v>16423.28</v>
      </c>
      <c r="S45" s="31">
        <f t="shared" si="5"/>
        <v>1.3514801321009282E-6</v>
      </c>
    </row>
    <row r="46" spans="1:19" s="31" customFormat="1" ht="12.95" customHeight="1" x14ac:dyDescent="0.2">
      <c r="A46" s="66" t="s">
        <v>47</v>
      </c>
      <c r="B46" s="67" t="s">
        <v>45</v>
      </c>
      <c r="C46" s="66">
        <v>31714.978999999999</v>
      </c>
      <c r="D46" s="86"/>
      <c r="E46" s="31">
        <f t="shared" si="1"/>
        <v>2703.0030309228514</v>
      </c>
      <c r="F46" s="31">
        <f t="shared" si="2"/>
        <v>2703</v>
      </c>
      <c r="G46" s="31">
        <f t="shared" si="6"/>
        <v>6.5200000026379712E-3</v>
      </c>
      <c r="H46" s="31">
        <f t="shared" si="7"/>
        <v>6.5200000026379712E-3</v>
      </c>
      <c r="P46" s="40">
        <f t="shared" si="3"/>
        <v>3.346280019520656E-3</v>
      </c>
      <c r="Q46" s="102">
        <f t="shared" si="4"/>
        <v>16696.478999999999</v>
      </c>
      <c r="S46" s="31">
        <f t="shared" si="5"/>
        <v>1.0072498531238172E-5</v>
      </c>
    </row>
    <row r="47" spans="1:19" s="31" customFormat="1" ht="12.95" customHeight="1" x14ac:dyDescent="0.2">
      <c r="A47" s="66" t="s">
        <v>44</v>
      </c>
      <c r="B47" s="67" t="s">
        <v>45</v>
      </c>
      <c r="C47" s="66">
        <v>31904.291000000001</v>
      </c>
      <c r="D47" s="86"/>
      <c r="E47" s="31">
        <f t="shared" si="1"/>
        <v>2791.0076423882938</v>
      </c>
      <c r="F47" s="31">
        <f t="shared" si="2"/>
        <v>2791</v>
      </c>
      <c r="G47" s="31">
        <f t="shared" si="6"/>
        <v>1.6440000003058231E-2</v>
      </c>
      <c r="H47" s="31">
        <f t="shared" si="7"/>
        <v>1.6440000003058231E-2</v>
      </c>
      <c r="P47" s="40">
        <f t="shared" si="3"/>
        <v>3.0630908558653622E-3</v>
      </c>
      <c r="Q47" s="102">
        <f t="shared" si="4"/>
        <v>16885.791000000001</v>
      </c>
      <c r="S47" s="31">
        <f t="shared" si="5"/>
        <v>1.7894169833225222E-4</v>
      </c>
    </row>
    <row r="48" spans="1:19" s="31" customFormat="1" ht="12.95" customHeight="1" x14ac:dyDescent="0.2">
      <c r="A48" s="66" t="s">
        <v>47</v>
      </c>
      <c r="B48" s="67" t="s">
        <v>45</v>
      </c>
      <c r="C48" s="66">
        <v>32069.920999999998</v>
      </c>
      <c r="D48" s="86"/>
      <c r="E48" s="31">
        <f t="shared" si="1"/>
        <v>2868.0033098421318</v>
      </c>
      <c r="F48" s="31">
        <f t="shared" si="2"/>
        <v>2868</v>
      </c>
      <c r="G48" s="31">
        <f t="shared" si="6"/>
        <v>7.1199999983946327E-3</v>
      </c>
      <c r="H48" s="31">
        <f t="shared" si="7"/>
        <v>7.1199999983946327E-3</v>
      </c>
      <c r="P48" s="40">
        <f t="shared" si="3"/>
        <v>2.7792371930708548E-3</v>
      </c>
      <c r="Q48" s="102">
        <f t="shared" si="4"/>
        <v>17051.420999999998</v>
      </c>
      <c r="S48" s="31">
        <f t="shared" si="5"/>
        <v>1.8842221732082355E-5</v>
      </c>
    </row>
    <row r="49" spans="1:19" s="31" customFormat="1" ht="12.95" customHeight="1" x14ac:dyDescent="0.2">
      <c r="A49" s="66" t="s">
        <v>44</v>
      </c>
      <c r="B49" s="67" t="s">
        <v>45</v>
      </c>
      <c r="C49" s="66">
        <v>32203.296999999999</v>
      </c>
      <c r="D49" s="86"/>
      <c r="E49" s="31">
        <f t="shared" si="1"/>
        <v>2930.0052064932406</v>
      </c>
      <c r="F49" s="31">
        <f t="shared" si="2"/>
        <v>2930</v>
      </c>
      <c r="G49" s="31">
        <f t="shared" si="6"/>
        <v>1.1200000000826549E-2</v>
      </c>
      <c r="H49" s="31">
        <f t="shared" si="7"/>
        <v>1.1200000000826549E-2</v>
      </c>
      <c r="P49" s="40">
        <f t="shared" si="3"/>
        <v>2.5262175039313627E-3</v>
      </c>
      <c r="Q49" s="102">
        <f t="shared" si="4"/>
        <v>17184.796999999999</v>
      </c>
      <c r="S49" s="31">
        <f t="shared" si="5"/>
        <v>7.5234502803445287E-5</v>
      </c>
    </row>
    <row r="50" spans="1:19" s="31" customFormat="1" ht="12.95" customHeight="1" x14ac:dyDescent="0.2">
      <c r="A50" s="66" t="s">
        <v>44</v>
      </c>
      <c r="B50" s="67" t="s">
        <v>45</v>
      </c>
      <c r="C50" s="66">
        <v>32216.2</v>
      </c>
      <c r="D50" s="86"/>
      <c r="E50" s="31">
        <f t="shared" si="1"/>
        <v>2936.0033656259889</v>
      </c>
      <c r="F50" s="31">
        <f t="shared" si="2"/>
        <v>2936</v>
      </c>
      <c r="G50" s="31">
        <f t="shared" si="6"/>
        <v>7.2400000026391353E-3</v>
      </c>
      <c r="H50" s="31">
        <f t="shared" si="7"/>
        <v>7.2400000026391353E-3</v>
      </c>
      <c r="P50" s="40">
        <f t="shared" si="3"/>
        <v>2.5005736194957141E-3</v>
      </c>
      <c r="Q50" s="102">
        <f t="shared" si="4"/>
        <v>17197.7</v>
      </c>
      <c r="S50" s="31">
        <f t="shared" si="5"/>
        <v>2.2462162441235931E-5</v>
      </c>
    </row>
    <row r="51" spans="1:19" s="31" customFormat="1" ht="12.95" customHeight="1" x14ac:dyDescent="0.2">
      <c r="A51" s="66" t="s">
        <v>44</v>
      </c>
      <c r="B51" s="67" t="s">
        <v>45</v>
      </c>
      <c r="C51" s="66">
        <v>32218.347000000002</v>
      </c>
      <c r="D51" s="86"/>
      <c r="E51" s="31">
        <f t="shared" si="1"/>
        <v>2937.0014317856426</v>
      </c>
      <c r="F51" s="31">
        <f t="shared" si="2"/>
        <v>2937</v>
      </c>
      <c r="G51" s="31">
        <f t="shared" si="6"/>
        <v>3.0800000022281893E-3</v>
      </c>
      <c r="H51" s="31">
        <f t="shared" si="7"/>
        <v>3.0800000022281893E-3</v>
      </c>
      <c r="P51" s="40">
        <f t="shared" si="3"/>
        <v>2.496279769255285E-3</v>
      </c>
      <c r="Q51" s="102">
        <f t="shared" si="4"/>
        <v>17199.847000000002</v>
      </c>
      <c r="S51" s="31">
        <f t="shared" si="5"/>
        <v>3.407293103819416E-7</v>
      </c>
    </row>
    <row r="52" spans="1:19" s="31" customFormat="1" ht="12.95" customHeight="1" x14ac:dyDescent="0.2">
      <c r="A52" s="66" t="s">
        <v>48</v>
      </c>
      <c r="B52" s="67" t="s">
        <v>45</v>
      </c>
      <c r="C52" s="66">
        <v>32246.319</v>
      </c>
      <c r="D52" s="86"/>
      <c r="E52" s="31">
        <f t="shared" si="1"/>
        <v>2950.0046486546798</v>
      </c>
      <c r="F52" s="31">
        <f t="shared" si="2"/>
        <v>2950</v>
      </c>
      <c r="G52" s="31">
        <f t="shared" si="6"/>
        <v>1.0000000002037268E-2</v>
      </c>
      <c r="H52" s="31">
        <f t="shared" si="7"/>
        <v>1.0000000002037268E-2</v>
      </c>
      <c r="P52" s="40">
        <f t="shared" si="3"/>
        <v>2.4399431090996668E-3</v>
      </c>
      <c r="Q52" s="102">
        <f t="shared" si="4"/>
        <v>17227.819</v>
      </c>
      <c r="S52" s="31">
        <f t="shared" si="5"/>
        <v>5.7154460224453337E-5</v>
      </c>
    </row>
    <row r="53" spans="1:19" s="31" customFormat="1" ht="12.95" customHeight="1" x14ac:dyDescent="0.2">
      <c r="A53" s="66" t="s">
        <v>44</v>
      </c>
      <c r="B53" s="67" t="s">
        <v>45</v>
      </c>
      <c r="C53" s="66">
        <v>32259.226999999999</v>
      </c>
      <c r="D53" s="86"/>
      <c r="E53" s="31">
        <f t="shared" ref="E53:E84" si="8">+(C53-C$7)/C$8</f>
        <v>2956.0051321147662</v>
      </c>
      <c r="F53" s="31">
        <f t="shared" ref="F53:F84" si="9">ROUND(2*E53,0)/2</f>
        <v>2956</v>
      </c>
      <c r="G53" s="31">
        <f t="shared" si="6"/>
        <v>1.104000000123051E-2</v>
      </c>
      <c r="H53" s="31">
        <f t="shared" si="7"/>
        <v>1.104000000123051E-2</v>
      </c>
      <c r="P53" s="40">
        <f t="shared" ref="P53:P84" si="10">+D$11+D$12*F53+D$13*F53^2</f>
        <v>2.4136179846244166E-3</v>
      </c>
      <c r="Q53" s="102">
        <f t="shared" ref="Q53:Q84" si="11">+C53-15018.5</f>
        <v>17240.726999999999</v>
      </c>
      <c r="S53" s="31">
        <f t="shared" ref="S53:S84" si="12">+(P53-G53)^2</f>
        <v>7.4414466696425005E-5</v>
      </c>
    </row>
    <row r="54" spans="1:19" s="31" customFormat="1" ht="12.95" customHeight="1" x14ac:dyDescent="0.2">
      <c r="A54" s="66" t="s">
        <v>44</v>
      </c>
      <c r="B54" s="67" t="s">
        <v>45</v>
      </c>
      <c r="C54" s="66">
        <v>32261.362000000001</v>
      </c>
      <c r="D54" s="86"/>
      <c r="E54" s="31">
        <f t="shared" si="8"/>
        <v>2956.9976198888053</v>
      </c>
      <c r="F54" s="31">
        <f t="shared" si="9"/>
        <v>2957</v>
      </c>
      <c r="G54" s="31">
        <f t="shared" si="6"/>
        <v>-5.1199999979871791E-3</v>
      </c>
      <c r="H54" s="31">
        <f t="shared" si="7"/>
        <v>-5.1199999979871791E-3</v>
      </c>
      <c r="P54" s="40">
        <f t="shared" si="10"/>
        <v>2.409210594377386E-3</v>
      </c>
      <c r="Q54" s="102">
        <f t="shared" si="11"/>
        <v>17242.862000000001</v>
      </c>
      <c r="S54" s="31">
        <f t="shared" si="12"/>
        <v>5.6689012144174764E-5</v>
      </c>
    </row>
    <row r="55" spans="1:19" s="31" customFormat="1" ht="12.95" customHeight="1" x14ac:dyDescent="0.2">
      <c r="A55" s="66" t="s">
        <v>44</v>
      </c>
      <c r="B55" s="67" t="s">
        <v>45</v>
      </c>
      <c r="C55" s="66">
        <v>32562.554</v>
      </c>
      <c r="D55" s="86"/>
      <c r="E55" s="31">
        <f t="shared" si="8"/>
        <v>3097.0113799066557</v>
      </c>
      <c r="F55" s="31">
        <f t="shared" si="9"/>
        <v>3097</v>
      </c>
      <c r="G55" s="31">
        <f t="shared" ref="G55:G86" si="13">+C55-(C$7+F55*C$8)</f>
        <v>2.4480000000039581E-2</v>
      </c>
      <c r="H55" s="31">
        <f t="shared" ref="H55:H72" si="14">+G55</f>
        <v>2.4480000000039581E-2</v>
      </c>
      <c r="P55" s="40">
        <f t="shared" si="10"/>
        <v>1.7361439665364645E-3</v>
      </c>
      <c r="Q55" s="102">
        <f t="shared" si="11"/>
        <v>17544.054</v>
      </c>
      <c r="S55" s="31">
        <f t="shared" si="12"/>
        <v>5.1728298727271615E-4</v>
      </c>
    </row>
    <row r="56" spans="1:19" s="31" customFormat="1" ht="12.95" customHeight="1" x14ac:dyDescent="0.2">
      <c r="A56" s="66" t="s">
        <v>44</v>
      </c>
      <c r="B56" s="67" t="s">
        <v>45</v>
      </c>
      <c r="C56" s="66">
        <v>32889.51</v>
      </c>
      <c r="D56" s="86"/>
      <c r="E56" s="31">
        <f t="shared" si="8"/>
        <v>3249.0019338403481</v>
      </c>
      <c r="F56" s="31">
        <f t="shared" si="9"/>
        <v>3249</v>
      </c>
      <c r="G56" s="31">
        <f t="shared" si="13"/>
        <v>4.1600000040489249E-3</v>
      </c>
      <c r="H56" s="31">
        <f t="shared" si="14"/>
        <v>4.1600000040489249E-3</v>
      </c>
      <c r="P56" s="40">
        <f t="shared" si="10"/>
        <v>8.794019221293678E-4</v>
      </c>
      <c r="Q56" s="102">
        <f t="shared" si="11"/>
        <v>17871.010000000002</v>
      </c>
      <c r="S56" s="31">
        <f t="shared" si="12"/>
        <v>1.0762323775094276E-5</v>
      </c>
    </row>
    <row r="57" spans="1:19" s="31" customFormat="1" ht="12.95" customHeight="1" x14ac:dyDescent="0.2">
      <c r="A57" s="66" t="s">
        <v>44</v>
      </c>
      <c r="B57" s="67" t="s">
        <v>45</v>
      </c>
      <c r="C57" s="66">
        <v>32945.440000000002</v>
      </c>
      <c r="D57" s="86"/>
      <c r="E57" s="31">
        <f t="shared" si="8"/>
        <v>3275.0018594618732</v>
      </c>
      <c r="F57" s="31">
        <f t="shared" si="9"/>
        <v>3275</v>
      </c>
      <c r="G57" s="31">
        <f t="shared" si="13"/>
        <v>4.0000000008149073E-3</v>
      </c>
      <c r="H57" s="31">
        <f t="shared" si="14"/>
        <v>4.0000000008149073E-3</v>
      </c>
      <c r="P57" s="40">
        <f t="shared" si="10"/>
        <v>7.1971736208565826E-4</v>
      </c>
      <c r="Q57" s="102">
        <f t="shared" si="11"/>
        <v>17926.940000000002</v>
      </c>
      <c r="S57" s="31">
        <f t="shared" si="12"/>
        <v>1.0760254189948524E-5</v>
      </c>
    </row>
    <row r="58" spans="1:19" s="31" customFormat="1" ht="12.95" customHeight="1" x14ac:dyDescent="0.2">
      <c r="A58" s="66" t="s">
        <v>44</v>
      </c>
      <c r="B58" s="67" t="s">
        <v>45</v>
      </c>
      <c r="C58" s="66">
        <v>33001.362999999998</v>
      </c>
      <c r="D58" s="86"/>
      <c r="E58" s="31">
        <f t="shared" si="8"/>
        <v>3300.9985310251209</v>
      </c>
      <c r="F58" s="31">
        <f t="shared" si="9"/>
        <v>3301</v>
      </c>
      <c r="G58" s="31">
        <f t="shared" si="13"/>
        <v>-3.1600000002072193E-3</v>
      </c>
      <c r="H58" s="31">
        <f t="shared" si="14"/>
        <v>-3.1600000002072193E-3</v>
      </c>
      <c r="P58" s="40">
        <f t="shared" si="10"/>
        <v>5.5619514981889231E-4</v>
      </c>
      <c r="Q58" s="102">
        <f t="shared" si="11"/>
        <v>17982.862999999998</v>
      </c>
      <c r="S58" s="31">
        <f t="shared" si="12"/>
        <v>1.3810106393077594E-5</v>
      </c>
    </row>
    <row r="59" spans="1:19" s="31" customFormat="1" ht="12.95" customHeight="1" x14ac:dyDescent="0.2">
      <c r="A59" s="66" t="s">
        <v>44</v>
      </c>
      <c r="B59" s="67" t="s">
        <v>45</v>
      </c>
      <c r="C59" s="66">
        <v>33190.663999999997</v>
      </c>
      <c r="D59" s="86"/>
      <c r="E59" s="31">
        <f t="shared" si="8"/>
        <v>3388.9980289704154</v>
      </c>
      <c r="F59" s="31">
        <f t="shared" si="9"/>
        <v>3389</v>
      </c>
      <c r="G59" s="31">
        <f t="shared" si="13"/>
        <v>-4.2400000020279549E-3</v>
      </c>
      <c r="H59" s="31">
        <f t="shared" si="14"/>
        <v>-4.2400000020279549E-3</v>
      </c>
      <c r="P59" s="40">
        <f t="shared" si="10"/>
        <v>-2.5740479200682398E-5</v>
      </c>
      <c r="Q59" s="102">
        <f t="shared" si="11"/>
        <v>18172.163999999997</v>
      </c>
      <c r="S59" s="31">
        <f t="shared" si="12"/>
        <v>1.775998332574035E-5</v>
      </c>
    </row>
    <row r="60" spans="1:19" s="31" customFormat="1" ht="12.95" customHeight="1" x14ac:dyDescent="0.2">
      <c r="A60" s="66" t="s">
        <v>44</v>
      </c>
      <c r="B60" s="67" t="s">
        <v>45</v>
      </c>
      <c r="C60" s="66">
        <v>33328.347999999998</v>
      </c>
      <c r="D60" s="86"/>
      <c r="E60" s="31">
        <f t="shared" si="8"/>
        <v>3453.0025660573829</v>
      </c>
      <c r="F60" s="31">
        <f t="shared" si="9"/>
        <v>3453</v>
      </c>
      <c r="G60" s="31">
        <f t="shared" si="13"/>
        <v>5.5199999987962656E-3</v>
      </c>
      <c r="H60" s="31">
        <f t="shared" si="14"/>
        <v>5.5199999987962656E-3</v>
      </c>
      <c r="P60" s="40">
        <f t="shared" si="10"/>
        <v>-4.7657932081987542E-4</v>
      </c>
      <c r="Q60" s="102">
        <f t="shared" si="11"/>
        <v>18309.847999999998</v>
      </c>
      <c r="S60" s="31">
        <f t="shared" si="12"/>
        <v>3.5958963536447979E-5</v>
      </c>
    </row>
    <row r="61" spans="1:19" s="31" customFormat="1" ht="12.95" customHeight="1" x14ac:dyDescent="0.2">
      <c r="A61" s="66" t="s">
        <v>44</v>
      </c>
      <c r="B61" s="67" t="s">
        <v>45</v>
      </c>
      <c r="C61" s="66">
        <v>33330.474999999999</v>
      </c>
      <c r="D61" s="86"/>
      <c r="E61" s="31">
        <f t="shared" si="8"/>
        <v>3453.9913349076778</v>
      </c>
      <c r="F61" s="31">
        <f t="shared" si="9"/>
        <v>3454</v>
      </c>
      <c r="G61" s="31">
        <f t="shared" si="13"/>
        <v>-1.8640000002051238E-2</v>
      </c>
      <c r="H61" s="31">
        <f t="shared" si="14"/>
        <v>-1.8640000002051238E-2</v>
      </c>
      <c r="P61" s="40">
        <f t="shared" si="10"/>
        <v>-4.8380818023090189E-4</v>
      </c>
      <c r="Q61" s="102">
        <f t="shared" si="11"/>
        <v>18311.974999999999</v>
      </c>
      <c r="S61" s="31">
        <f t="shared" si="12"/>
        <v>3.2964730147073566E-4</v>
      </c>
    </row>
    <row r="62" spans="1:19" s="31" customFormat="1" ht="12.95" customHeight="1" x14ac:dyDescent="0.2">
      <c r="A62" s="66" t="s">
        <v>44</v>
      </c>
      <c r="B62" s="67" t="s">
        <v>45</v>
      </c>
      <c r="C62" s="66">
        <v>33358.442000000003</v>
      </c>
      <c r="D62" s="86"/>
      <c r="E62" s="31">
        <f t="shared" si="8"/>
        <v>3466.9922274493779</v>
      </c>
      <c r="F62" s="31">
        <f t="shared" si="9"/>
        <v>3467</v>
      </c>
      <c r="G62" s="31">
        <f t="shared" si="13"/>
        <v>-1.6719999992346857E-2</v>
      </c>
      <c r="H62" s="31">
        <f t="shared" si="14"/>
        <v>-1.6719999992346857E-2</v>
      </c>
      <c r="P62" s="40">
        <f t="shared" si="10"/>
        <v>-5.7829995960424763E-4</v>
      </c>
      <c r="Q62" s="102">
        <f t="shared" si="11"/>
        <v>18339.942000000003</v>
      </c>
      <c r="S62" s="31">
        <f t="shared" si="12"/>
        <v>2.6055447994704275E-4</v>
      </c>
    </row>
    <row r="63" spans="1:19" s="31" customFormat="1" ht="12.95" customHeight="1" x14ac:dyDescent="0.2">
      <c r="A63" s="66" t="s">
        <v>44</v>
      </c>
      <c r="B63" s="67" t="s">
        <v>45</v>
      </c>
      <c r="C63" s="66">
        <v>33571.411999999997</v>
      </c>
      <c r="D63" s="86"/>
      <c r="E63" s="31">
        <f t="shared" si="8"/>
        <v>3565.99462615519</v>
      </c>
      <c r="F63" s="31">
        <f t="shared" si="9"/>
        <v>3566</v>
      </c>
      <c r="G63" s="31">
        <f t="shared" si="13"/>
        <v>-1.1559999999008141E-2</v>
      </c>
      <c r="H63" s="31">
        <f t="shared" si="14"/>
        <v>-1.1559999999008141E-2</v>
      </c>
      <c r="P63" s="40">
        <f t="shared" si="10"/>
        <v>-1.3293644923536366E-3</v>
      </c>
      <c r="Q63" s="102">
        <f t="shared" si="11"/>
        <v>18552.911999999997</v>
      </c>
      <c r="S63" s="31">
        <f t="shared" si="12"/>
        <v>1.0466590287001988E-4</v>
      </c>
    </row>
    <row r="64" spans="1:19" s="31" customFormat="1" ht="12.95" customHeight="1" x14ac:dyDescent="0.2">
      <c r="A64" s="66" t="s">
        <v>44</v>
      </c>
      <c r="B64" s="67" t="s">
        <v>45</v>
      </c>
      <c r="C64" s="66">
        <v>33599.381999999998</v>
      </c>
      <c r="D64" s="86"/>
      <c r="E64" s="31">
        <f t="shared" si="8"/>
        <v>3578.9969132932924</v>
      </c>
      <c r="F64" s="31">
        <f t="shared" si="9"/>
        <v>3579</v>
      </c>
      <c r="G64" s="31">
        <f t="shared" si="13"/>
        <v>-6.6399999996065162E-3</v>
      </c>
      <c r="H64" s="31">
        <f t="shared" si="14"/>
        <v>-6.6399999996065162E-3</v>
      </c>
      <c r="P64" s="40">
        <f t="shared" si="10"/>
        <v>-1.4321219842074046E-3</v>
      </c>
      <c r="Q64" s="102">
        <f t="shared" si="11"/>
        <v>18580.881999999998</v>
      </c>
      <c r="S64" s="31">
        <f t="shared" si="12"/>
        <v>2.712199342327739E-5</v>
      </c>
    </row>
    <row r="65" spans="1:19" s="31" customFormat="1" ht="12.95" customHeight="1" x14ac:dyDescent="0.2">
      <c r="A65" s="66" t="s">
        <v>49</v>
      </c>
      <c r="B65" s="67" t="s">
        <v>45</v>
      </c>
      <c r="C65" s="66">
        <v>33629.500999999997</v>
      </c>
      <c r="D65" s="86"/>
      <c r="E65" s="31">
        <f t="shared" si="8"/>
        <v>3592.9981963219834</v>
      </c>
      <c r="F65" s="31">
        <f t="shared" si="9"/>
        <v>3593</v>
      </c>
      <c r="G65" s="31">
        <f t="shared" si="13"/>
        <v>-3.8800000038463622E-3</v>
      </c>
      <c r="H65" s="31">
        <f t="shared" si="14"/>
        <v>-3.8800000038463622E-3</v>
      </c>
      <c r="P65" s="40">
        <f t="shared" si="10"/>
        <v>-1.5438568515738355E-3</v>
      </c>
      <c r="Q65" s="102">
        <f t="shared" si="11"/>
        <v>18611.000999999997</v>
      </c>
      <c r="S65" s="31">
        <f t="shared" si="12"/>
        <v>5.457564827909818E-6</v>
      </c>
    </row>
    <row r="66" spans="1:19" s="31" customFormat="1" ht="12.95" customHeight="1" x14ac:dyDescent="0.2">
      <c r="A66" s="66" t="s">
        <v>49</v>
      </c>
      <c r="B66" s="67" t="s">
        <v>45</v>
      </c>
      <c r="C66" s="66">
        <v>33685.423000000003</v>
      </c>
      <c r="D66" s="86"/>
      <c r="E66" s="31">
        <f t="shared" si="8"/>
        <v>3618.994403019768</v>
      </c>
      <c r="F66" s="31">
        <f t="shared" si="9"/>
        <v>3619</v>
      </c>
      <c r="G66" s="31">
        <f t="shared" si="13"/>
        <v>-1.2039999994158279E-2</v>
      </c>
      <c r="H66" s="31">
        <f t="shared" si="14"/>
        <v>-1.2039999994158279E-2</v>
      </c>
      <c r="P66" s="40">
        <f t="shared" si="10"/>
        <v>-1.754316502568784E-3</v>
      </c>
      <c r="Q66" s="102">
        <f t="shared" si="11"/>
        <v>18666.923000000003</v>
      </c>
      <c r="S66" s="31">
        <f t="shared" si="12"/>
        <v>1.0579528488915667E-4</v>
      </c>
    </row>
    <row r="67" spans="1:19" s="31" customFormat="1" ht="12.95" customHeight="1" x14ac:dyDescent="0.2">
      <c r="A67" s="66" t="s">
        <v>50</v>
      </c>
      <c r="B67" s="67" t="s">
        <v>45</v>
      </c>
      <c r="C67" s="66">
        <v>39407.461000000003</v>
      </c>
      <c r="D67" s="86"/>
      <c r="E67" s="31">
        <f t="shared" si="8"/>
        <v>6278.9722754234945</v>
      </c>
      <c r="F67" s="31">
        <f t="shared" si="9"/>
        <v>6279</v>
      </c>
      <c r="G67" s="31">
        <f t="shared" si="13"/>
        <v>-5.9639999999490101E-2</v>
      </c>
      <c r="H67" s="31">
        <f t="shared" si="14"/>
        <v>-5.9639999999490101E-2</v>
      </c>
      <c r="P67" s="40">
        <f t="shared" si="10"/>
        <v>-4.3566360158518211E-2</v>
      </c>
      <c r="Q67" s="102">
        <f t="shared" si="11"/>
        <v>24388.961000000003</v>
      </c>
      <c r="S67" s="31">
        <f t="shared" si="12"/>
        <v>2.5836189773727886E-4</v>
      </c>
    </row>
    <row r="68" spans="1:19" s="31" customFormat="1" ht="12.95" customHeight="1" x14ac:dyDescent="0.2">
      <c r="A68" s="66" t="s">
        <v>50</v>
      </c>
      <c r="B68" s="67" t="s">
        <v>45</v>
      </c>
      <c r="C68" s="66">
        <v>39562.351999999999</v>
      </c>
      <c r="D68" s="86"/>
      <c r="E68" s="31">
        <f t="shared" si="8"/>
        <v>6350.9757526171925</v>
      </c>
      <c r="F68" s="31">
        <f t="shared" si="9"/>
        <v>6351</v>
      </c>
      <c r="G68" s="31">
        <f t="shared" si="13"/>
        <v>-5.2159999999275897E-2</v>
      </c>
      <c r="H68" s="31">
        <f t="shared" si="14"/>
        <v>-5.2159999999275897E-2</v>
      </c>
      <c r="P68" s="40">
        <f t="shared" si="10"/>
        <v>-4.5256459060094748E-2</v>
      </c>
      <c r="Q68" s="102">
        <f t="shared" si="11"/>
        <v>24543.851999999999</v>
      </c>
      <c r="S68" s="31">
        <f t="shared" si="12"/>
        <v>4.765887749895014E-5</v>
      </c>
    </row>
    <row r="69" spans="1:19" s="31" customFormat="1" ht="12.95" customHeight="1" x14ac:dyDescent="0.2">
      <c r="A69" s="66" t="s">
        <v>50</v>
      </c>
      <c r="B69" s="67" t="s">
        <v>45</v>
      </c>
      <c r="C69" s="66">
        <v>39564.538999999997</v>
      </c>
      <c r="D69" s="86"/>
      <c r="E69" s="31">
        <f t="shared" si="8"/>
        <v>6351.9924133955628</v>
      </c>
      <c r="F69" s="31">
        <f t="shared" si="9"/>
        <v>6352</v>
      </c>
      <c r="G69" s="31">
        <f t="shared" si="13"/>
        <v>-1.6320000002451707E-2</v>
      </c>
      <c r="H69" s="31">
        <f t="shared" si="14"/>
        <v>-1.6320000002451707E-2</v>
      </c>
      <c r="P69" s="40">
        <f t="shared" si="10"/>
        <v>-4.5280139866462024E-2</v>
      </c>
      <c r="Q69" s="102">
        <f t="shared" si="11"/>
        <v>24546.038999999997</v>
      </c>
      <c r="S69" s="31">
        <f t="shared" si="12"/>
        <v>8.386897009430395E-4</v>
      </c>
    </row>
    <row r="70" spans="1:19" s="31" customFormat="1" ht="12.95" customHeight="1" x14ac:dyDescent="0.2">
      <c r="A70" s="66" t="s">
        <v>50</v>
      </c>
      <c r="B70" s="67" t="s">
        <v>45</v>
      </c>
      <c r="C70" s="66">
        <v>39917.303999999996</v>
      </c>
      <c r="D70" s="86"/>
      <c r="E70" s="31">
        <f t="shared" si="8"/>
        <v>6515.9806801911518</v>
      </c>
      <c r="F70" s="31">
        <f t="shared" si="9"/>
        <v>6516</v>
      </c>
      <c r="G70" s="31">
        <f t="shared" si="13"/>
        <v>-4.1560000005119946E-2</v>
      </c>
      <c r="H70" s="31">
        <f t="shared" si="14"/>
        <v>-4.1560000005119946E-2</v>
      </c>
      <c r="P70" s="40">
        <f t="shared" si="10"/>
        <v>-4.9240601925159333E-2</v>
      </c>
      <c r="Q70" s="102">
        <f t="shared" si="11"/>
        <v>24898.803999999996</v>
      </c>
      <c r="S70" s="31">
        <f t="shared" si="12"/>
        <v>5.8991645854112722E-5</v>
      </c>
    </row>
    <row r="71" spans="1:19" s="31" customFormat="1" ht="12.95" customHeight="1" x14ac:dyDescent="0.2">
      <c r="A71" s="66" t="s">
        <v>50</v>
      </c>
      <c r="B71" s="67" t="s">
        <v>45</v>
      </c>
      <c r="C71" s="66">
        <v>39949.578000000001</v>
      </c>
      <c r="D71" s="86"/>
      <c r="E71" s="31">
        <f t="shared" si="8"/>
        <v>6530.9837483032425</v>
      </c>
      <c r="F71" s="31">
        <f t="shared" si="9"/>
        <v>6531</v>
      </c>
      <c r="G71" s="31">
        <f t="shared" si="13"/>
        <v>-3.4959999997226987E-2</v>
      </c>
      <c r="H71" s="31">
        <f t="shared" si="14"/>
        <v>-3.4959999997226987E-2</v>
      </c>
      <c r="P71" s="40">
        <f t="shared" si="10"/>
        <v>-4.9610460681519766E-2</v>
      </c>
      <c r="Q71" s="102">
        <f t="shared" si="11"/>
        <v>24931.078000000001</v>
      </c>
      <c r="S71" s="31">
        <f t="shared" si="12"/>
        <v>2.1463599826200845E-4</v>
      </c>
    </row>
    <row r="72" spans="1:19" s="31" customFormat="1" ht="12.95" customHeight="1" x14ac:dyDescent="0.2">
      <c r="A72" s="66" t="s">
        <v>50</v>
      </c>
      <c r="B72" s="67" t="s">
        <v>45</v>
      </c>
      <c r="C72" s="66">
        <v>40504.561000000002</v>
      </c>
      <c r="D72" s="86"/>
      <c r="E72" s="31">
        <f t="shared" si="8"/>
        <v>6788.9761802934245</v>
      </c>
      <c r="F72" s="31">
        <f t="shared" si="9"/>
        <v>6789</v>
      </c>
      <c r="G72" s="31">
        <f t="shared" si="13"/>
        <v>-5.1240000000689179E-2</v>
      </c>
      <c r="H72" s="31">
        <f t="shared" si="14"/>
        <v>-5.1240000000689179E-2</v>
      </c>
      <c r="P72" s="40">
        <f t="shared" si="10"/>
        <v>-5.6171958211539516E-2</v>
      </c>
      <c r="Q72" s="102">
        <f t="shared" si="11"/>
        <v>25486.061000000002</v>
      </c>
      <c r="S72" s="31">
        <f t="shared" si="12"/>
        <v>2.4324211793574062E-5</v>
      </c>
    </row>
    <row r="73" spans="1:19" s="31" customFormat="1" ht="12.95" customHeight="1" x14ac:dyDescent="0.2">
      <c r="A73" s="68" t="s">
        <v>51</v>
      </c>
      <c r="B73" s="69"/>
      <c r="C73" s="70">
        <v>41356.406999999999</v>
      </c>
      <c r="D73" s="71"/>
      <c r="E73" s="31">
        <f t="shared" si="8"/>
        <v>7184.9699696907719</v>
      </c>
      <c r="F73" s="31">
        <f t="shared" si="9"/>
        <v>7185</v>
      </c>
      <c r="G73" s="31">
        <f t="shared" si="13"/>
        <v>-6.4599999997881241E-2</v>
      </c>
      <c r="I73" s="31">
        <f t="shared" ref="I73:I89" si="15">+G73</f>
        <v>-6.4599999997881241E-2</v>
      </c>
      <c r="P73" s="40">
        <f t="shared" si="10"/>
        <v>-6.6978220082019063E-2</v>
      </c>
      <c r="Q73" s="102">
        <f t="shared" si="11"/>
        <v>26337.906999999999</v>
      </c>
      <c r="S73" s="31">
        <f t="shared" si="12"/>
        <v>5.6559307685965095E-6</v>
      </c>
    </row>
    <row r="74" spans="1:19" s="31" customFormat="1" ht="12.95" customHeight="1" x14ac:dyDescent="0.2">
      <c r="A74" s="68" t="s">
        <v>51</v>
      </c>
      <c r="B74" s="69"/>
      <c r="C74" s="70">
        <v>42836.349000000002</v>
      </c>
      <c r="D74" s="71"/>
      <c r="E74" s="31">
        <f t="shared" si="8"/>
        <v>7872.9439000353314</v>
      </c>
      <c r="F74" s="31">
        <f t="shared" si="9"/>
        <v>7873</v>
      </c>
      <c r="G74" s="31">
        <f t="shared" si="13"/>
        <v>-0.12067999999271706</v>
      </c>
      <c r="I74" s="31">
        <f t="shared" si="15"/>
        <v>-0.12067999999271706</v>
      </c>
      <c r="P74" s="40">
        <f t="shared" si="10"/>
        <v>-8.7869666370017488E-2</v>
      </c>
      <c r="Q74" s="102">
        <f t="shared" si="11"/>
        <v>27817.849000000002</v>
      </c>
      <c r="S74" s="31">
        <f t="shared" si="12"/>
        <v>1.0765179924328498E-3</v>
      </c>
    </row>
    <row r="75" spans="1:19" s="31" customFormat="1" ht="12.95" customHeight="1" x14ac:dyDescent="0.2">
      <c r="A75" s="68" t="s">
        <v>51</v>
      </c>
      <c r="B75" s="69"/>
      <c r="C75" s="70">
        <v>43436.544999999998</v>
      </c>
      <c r="D75" s="71"/>
      <c r="E75" s="31">
        <f t="shared" si="8"/>
        <v>8151.9542944271925</v>
      </c>
      <c r="F75" s="31">
        <f t="shared" si="9"/>
        <v>8152</v>
      </c>
      <c r="G75" s="31">
        <f t="shared" si="13"/>
        <v>-9.832000000460539E-2</v>
      </c>
      <c r="I75" s="31">
        <f t="shared" si="15"/>
        <v>-9.832000000460539E-2</v>
      </c>
      <c r="P75" s="40">
        <f t="shared" si="10"/>
        <v>-9.7107441162400582E-2</v>
      </c>
      <c r="Q75" s="102">
        <f t="shared" si="11"/>
        <v>28418.044999999998</v>
      </c>
      <c r="S75" s="31">
        <f t="shared" si="12"/>
        <v>1.4702989458090653E-6</v>
      </c>
    </row>
    <row r="76" spans="1:19" s="31" customFormat="1" ht="12.95" customHeight="1" x14ac:dyDescent="0.2">
      <c r="A76" s="68" t="s">
        <v>51</v>
      </c>
      <c r="B76" s="69"/>
      <c r="C76" s="70">
        <v>44290.559999999998</v>
      </c>
      <c r="D76" s="71"/>
      <c r="E76" s="31">
        <f t="shared" si="8"/>
        <v>8548.9563770244895</v>
      </c>
      <c r="F76" s="31">
        <f t="shared" si="9"/>
        <v>8549</v>
      </c>
      <c r="G76" s="31">
        <f t="shared" si="13"/>
        <v>-9.3840000001364388E-2</v>
      </c>
      <c r="I76" s="31">
        <f t="shared" si="15"/>
        <v>-9.3840000001364388E-2</v>
      </c>
      <c r="P76" s="40">
        <f t="shared" si="10"/>
        <v>-0.11101400578307234</v>
      </c>
      <c r="Q76" s="102">
        <f t="shared" si="11"/>
        <v>29272.059999999998</v>
      </c>
      <c r="S76" s="31">
        <f t="shared" si="12"/>
        <v>2.9494647459013827E-4</v>
      </c>
    </row>
    <row r="77" spans="1:19" s="31" customFormat="1" ht="12.95" customHeight="1" x14ac:dyDescent="0.2">
      <c r="A77" s="68" t="s">
        <v>52</v>
      </c>
      <c r="B77" s="69"/>
      <c r="C77" s="70">
        <v>44985.336000000003</v>
      </c>
      <c r="D77" s="71"/>
      <c r="E77" s="31">
        <f t="shared" si="8"/>
        <v>8871.9337473735122</v>
      </c>
      <c r="F77" s="31">
        <f t="shared" si="9"/>
        <v>8872</v>
      </c>
      <c r="G77" s="31">
        <f t="shared" si="13"/>
        <v>-0.14251999999396503</v>
      </c>
      <c r="I77" s="31">
        <f t="shared" si="15"/>
        <v>-0.14251999999396503</v>
      </c>
      <c r="P77" s="40">
        <f t="shared" si="10"/>
        <v>-0.12298853638012368</v>
      </c>
      <c r="Q77" s="102">
        <f t="shared" si="11"/>
        <v>29966.836000000003</v>
      </c>
      <c r="S77" s="31">
        <f t="shared" si="12"/>
        <v>3.8147807089880867E-4</v>
      </c>
    </row>
    <row r="78" spans="1:19" s="31" customFormat="1" ht="12.95" customHeight="1" x14ac:dyDescent="0.2">
      <c r="A78" s="68" t="s">
        <v>53</v>
      </c>
      <c r="B78" s="69"/>
      <c r="C78" s="70">
        <v>47151.542000000001</v>
      </c>
      <c r="D78" s="71"/>
      <c r="E78" s="31">
        <f t="shared" si="8"/>
        <v>9878.9281132040396</v>
      </c>
      <c r="F78" s="31">
        <f t="shared" si="9"/>
        <v>9879</v>
      </c>
      <c r="G78" s="31">
        <f t="shared" si="13"/>
        <v>-0.1546399999933783</v>
      </c>
      <c r="I78" s="31">
        <f t="shared" si="15"/>
        <v>-0.1546399999933783</v>
      </c>
      <c r="P78" s="40">
        <f t="shared" si="10"/>
        <v>-0.16412252813277833</v>
      </c>
      <c r="Q78" s="102">
        <f t="shared" si="11"/>
        <v>32133.042000000001</v>
      </c>
      <c r="S78" s="31">
        <f t="shared" si="12"/>
        <v>8.9918339914513531E-5</v>
      </c>
    </row>
    <row r="79" spans="1:19" s="31" customFormat="1" ht="12.95" customHeight="1" x14ac:dyDescent="0.2">
      <c r="A79" s="68" t="s">
        <v>54</v>
      </c>
      <c r="B79" s="69"/>
      <c r="C79" s="70">
        <v>47205.32</v>
      </c>
      <c r="D79" s="71"/>
      <c r="E79" s="31">
        <f t="shared" si="8"/>
        <v>9903.9276483385711</v>
      </c>
      <c r="F79" s="31">
        <f t="shared" si="9"/>
        <v>9904</v>
      </c>
      <c r="G79" s="31">
        <f t="shared" si="13"/>
        <v>-0.15563999999722</v>
      </c>
      <c r="I79" s="31">
        <f t="shared" si="15"/>
        <v>-0.15563999999722</v>
      </c>
      <c r="P79" s="40">
        <f t="shared" si="10"/>
        <v>-0.16521696282116238</v>
      </c>
      <c r="Q79" s="102">
        <f t="shared" si="11"/>
        <v>32186.82</v>
      </c>
      <c r="S79" s="31">
        <f t="shared" si="12"/>
        <v>9.1718216931174418E-5</v>
      </c>
    </row>
    <row r="80" spans="1:19" s="31" customFormat="1" ht="12.95" customHeight="1" x14ac:dyDescent="0.2">
      <c r="A80" s="68" t="s">
        <v>55</v>
      </c>
      <c r="B80" s="68"/>
      <c r="C80" s="70">
        <v>47562.396000000001</v>
      </c>
      <c r="D80" s="71"/>
      <c r="E80" s="31">
        <f t="shared" si="8"/>
        <v>10069.919950166422</v>
      </c>
      <c r="F80" s="31">
        <f t="shared" si="9"/>
        <v>10070</v>
      </c>
      <c r="G80" s="31">
        <f t="shared" si="13"/>
        <v>-0.1721999999936088</v>
      </c>
      <c r="I80" s="31">
        <f t="shared" si="15"/>
        <v>-0.1721999999936088</v>
      </c>
      <c r="P80" s="40">
        <f t="shared" si="10"/>
        <v>-0.17257400663826361</v>
      </c>
      <c r="Q80" s="102">
        <f t="shared" si="11"/>
        <v>32543.896000000001</v>
      </c>
      <c r="S80" s="31">
        <f t="shared" si="12"/>
        <v>1.3988097024595068E-7</v>
      </c>
    </row>
    <row r="81" spans="1:19" s="31" customFormat="1" ht="12.95" customHeight="1" x14ac:dyDescent="0.2">
      <c r="A81" s="68" t="s">
        <v>56</v>
      </c>
      <c r="B81" s="68"/>
      <c r="C81" s="70">
        <v>47932.370999999999</v>
      </c>
      <c r="D81" s="71"/>
      <c r="E81" s="31">
        <f t="shared" si="8"/>
        <v>10241.908551665148</v>
      </c>
      <c r="F81" s="31">
        <f t="shared" si="9"/>
        <v>10242</v>
      </c>
      <c r="G81" s="31">
        <f t="shared" si="13"/>
        <v>-0.19671999999991385</v>
      </c>
      <c r="I81" s="31">
        <f t="shared" si="15"/>
        <v>-0.19671999999991385</v>
      </c>
      <c r="O81" s="31">
        <f t="shared" ref="O81:O118" ca="1" si="16">+C$11+C$12*$F81</f>
        <v>-0.1672905963441324</v>
      </c>
      <c r="P81" s="40">
        <f t="shared" si="10"/>
        <v>-0.18036198674735765</v>
      </c>
      <c r="Q81" s="102">
        <f t="shared" si="11"/>
        <v>32913.870999999999</v>
      </c>
      <c r="S81" s="31">
        <f t="shared" si="12"/>
        <v>2.6758459757080438E-4</v>
      </c>
    </row>
    <row r="82" spans="1:19" s="31" customFormat="1" ht="12.95" customHeight="1" x14ac:dyDescent="0.2">
      <c r="A82" s="68" t="s">
        <v>57</v>
      </c>
      <c r="B82" s="68"/>
      <c r="C82" s="70">
        <v>48205.586000000003</v>
      </c>
      <c r="D82" s="71"/>
      <c r="E82" s="31">
        <f t="shared" si="8"/>
        <v>10368.916770486623</v>
      </c>
      <c r="F82" s="31">
        <f t="shared" si="9"/>
        <v>10369</v>
      </c>
      <c r="G82" s="31">
        <f t="shared" si="13"/>
        <v>-0.17903999999543885</v>
      </c>
      <c r="I82" s="31">
        <f t="shared" si="15"/>
        <v>-0.17903999999543885</v>
      </c>
      <c r="O82" s="31">
        <f t="shared" ca="1" si="16"/>
        <v>-0.17482005133551198</v>
      </c>
      <c r="P82" s="40">
        <f t="shared" si="10"/>
        <v>-0.18622020028769784</v>
      </c>
      <c r="Q82" s="102">
        <f t="shared" si="11"/>
        <v>33187.086000000003</v>
      </c>
      <c r="S82" s="31">
        <f t="shared" si="12"/>
        <v>5.1555276236956124E-5</v>
      </c>
    </row>
    <row r="83" spans="1:19" s="31" customFormat="1" ht="12.95" customHeight="1" x14ac:dyDescent="0.2">
      <c r="A83" s="68" t="s">
        <v>58</v>
      </c>
      <c r="B83" s="68"/>
      <c r="C83" s="70">
        <v>48233.535000000003</v>
      </c>
      <c r="D83" s="70">
        <v>7.0000000000000001E-3</v>
      </c>
      <c r="E83" s="31">
        <f t="shared" si="8"/>
        <v>10381.909295449899</v>
      </c>
      <c r="F83" s="31">
        <f t="shared" si="9"/>
        <v>10382</v>
      </c>
      <c r="G83" s="31">
        <f t="shared" si="13"/>
        <v>-0.19511999999667751</v>
      </c>
      <c r="I83" s="31">
        <f t="shared" si="15"/>
        <v>-0.19511999999667751</v>
      </c>
      <c r="O83" s="31">
        <f t="shared" ca="1" si="16"/>
        <v>-0.17559078294880276</v>
      </c>
      <c r="P83" s="40">
        <f t="shared" si="10"/>
        <v>-0.1868250260117337</v>
      </c>
      <c r="Q83" s="102">
        <f t="shared" si="11"/>
        <v>33215.035000000003</v>
      </c>
      <c r="S83" s="31">
        <f t="shared" si="12"/>
        <v>6.8806593410894497E-5</v>
      </c>
    </row>
    <row r="84" spans="1:19" s="31" customFormat="1" ht="12.95" customHeight="1" x14ac:dyDescent="0.2">
      <c r="A84" s="68" t="s">
        <v>57</v>
      </c>
      <c r="B84" s="68"/>
      <c r="C84" s="70">
        <v>48274.415999999997</v>
      </c>
      <c r="D84" s="70"/>
      <c r="E84" s="31">
        <f t="shared" si="8"/>
        <v>10400.91346064449</v>
      </c>
      <c r="F84" s="31">
        <f t="shared" si="9"/>
        <v>10401</v>
      </c>
      <c r="G84" s="31">
        <f t="shared" si="13"/>
        <v>-0.18615999999747146</v>
      </c>
      <c r="I84" s="31">
        <f t="shared" si="15"/>
        <v>-0.18615999999747146</v>
      </c>
      <c r="O84" s="31">
        <f t="shared" ca="1" si="16"/>
        <v>-0.17671723684515089</v>
      </c>
      <c r="P84" s="40">
        <f t="shared" si="10"/>
        <v>-0.1877107278780403</v>
      </c>
      <c r="Q84" s="102">
        <f t="shared" si="11"/>
        <v>33255.915999999997</v>
      </c>
      <c r="S84" s="31">
        <f t="shared" si="12"/>
        <v>2.404756959573532E-6</v>
      </c>
    </row>
    <row r="85" spans="1:19" s="31" customFormat="1" ht="12.95" customHeight="1" x14ac:dyDescent="0.2">
      <c r="A85" s="68" t="s">
        <v>58</v>
      </c>
      <c r="B85" s="68"/>
      <c r="C85" s="70">
        <v>48330.341</v>
      </c>
      <c r="D85" s="70"/>
      <c r="E85" s="31">
        <f t="shared" ref="E85:E118" si="17">+(C85-C$7)/C$8</f>
        <v>10426.911061938676</v>
      </c>
      <c r="F85" s="31">
        <f t="shared" ref="F85:F116" si="18">ROUND(2*E85,0)/2</f>
        <v>10427</v>
      </c>
      <c r="G85" s="31">
        <f t="shared" si="13"/>
        <v>-0.19131999999808613</v>
      </c>
      <c r="I85" s="31">
        <f t="shared" si="15"/>
        <v>-0.19131999999808613</v>
      </c>
      <c r="O85" s="31">
        <f t="shared" ca="1" si="16"/>
        <v>-0.17825870007173256</v>
      </c>
      <c r="P85" s="40">
        <f t="shared" ref="P85:P118" si="19">+D$11+D$12*F85+D$13*F85^2</f>
        <v>-0.18892606200344236</v>
      </c>
      <c r="Q85" s="102">
        <f t="shared" ref="Q85:Q118" si="20">+C85-15018.5</f>
        <v>33311.841</v>
      </c>
      <c r="S85" s="31">
        <f t="shared" ref="S85:S118" si="21">+(P85-G85)^2</f>
        <v>5.7309391221990297E-6</v>
      </c>
    </row>
    <row r="86" spans="1:19" s="31" customFormat="1" ht="12.95" customHeight="1" x14ac:dyDescent="0.2">
      <c r="A86" s="66" t="s">
        <v>59</v>
      </c>
      <c r="B86" s="67" t="s">
        <v>45</v>
      </c>
      <c r="C86" s="66">
        <v>48644.398999999998</v>
      </c>
      <c r="D86" s="86"/>
      <c r="E86" s="31">
        <f t="shared" si="17"/>
        <v>10572.905781066958</v>
      </c>
      <c r="F86" s="31">
        <f t="shared" si="18"/>
        <v>10573</v>
      </c>
      <c r="G86" s="31">
        <f t="shared" si="13"/>
        <v>-0.2026800000021467</v>
      </c>
      <c r="I86" s="31">
        <f t="shared" si="15"/>
        <v>-0.2026800000021467</v>
      </c>
      <c r="O86" s="31">
        <f t="shared" ca="1" si="16"/>
        <v>-0.18691460895946016</v>
      </c>
      <c r="P86" s="40">
        <f t="shared" si="19"/>
        <v>-0.1958219109699201</v>
      </c>
      <c r="Q86" s="102">
        <f t="shared" si="20"/>
        <v>33625.898999999998</v>
      </c>
      <c r="S86" s="31">
        <f t="shared" si="21"/>
        <v>4.7033385173946701E-5</v>
      </c>
    </row>
    <row r="87" spans="1:19" s="31" customFormat="1" ht="12.95" customHeight="1" x14ac:dyDescent="0.2">
      <c r="A87" s="68" t="s">
        <v>60</v>
      </c>
      <c r="B87" s="69"/>
      <c r="C87" s="70">
        <v>48644.4</v>
      </c>
      <c r="D87" s="70"/>
      <c r="E87" s="31">
        <f t="shared" si="17"/>
        <v>10572.906245932429</v>
      </c>
      <c r="F87" s="31">
        <f t="shared" si="18"/>
        <v>10573</v>
      </c>
      <c r="G87" s="31">
        <f t="shared" ref="G87:G118" si="22">+C87-(C$7+F87*C$8)</f>
        <v>-0.20167999999830499</v>
      </c>
      <c r="I87" s="31">
        <f t="shared" si="15"/>
        <v>-0.20167999999830499</v>
      </c>
      <c r="O87" s="31">
        <f t="shared" ca="1" si="16"/>
        <v>-0.18691460895946016</v>
      </c>
      <c r="P87" s="40">
        <f t="shared" si="19"/>
        <v>-0.1958219109699201</v>
      </c>
      <c r="Q87" s="102">
        <f t="shared" si="20"/>
        <v>33625.9</v>
      </c>
      <c r="S87" s="31">
        <f t="shared" si="21"/>
        <v>3.4317207064483409E-5</v>
      </c>
    </row>
    <row r="88" spans="1:19" s="31" customFormat="1" ht="12.95" customHeight="1" x14ac:dyDescent="0.2">
      <c r="A88" s="66" t="s">
        <v>61</v>
      </c>
      <c r="B88" s="67" t="s">
        <v>45</v>
      </c>
      <c r="C88" s="66">
        <v>49401.584999999999</v>
      </c>
      <c r="D88" s="86"/>
      <c r="E88" s="31">
        <f t="shared" si="17"/>
        <v>10924.895405269715</v>
      </c>
      <c r="F88" s="31">
        <f t="shared" si="18"/>
        <v>10925</v>
      </c>
      <c r="G88" s="31">
        <f t="shared" si="22"/>
        <v>-0.22499999999854481</v>
      </c>
      <c r="I88" s="31">
        <f t="shared" si="15"/>
        <v>-0.22499999999854481</v>
      </c>
      <c r="O88" s="31">
        <f t="shared" ca="1" si="16"/>
        <v>-0.20778364956548828</v>
      </c>
      <c r="P88" s="40">
        <f t="shared" si="19"/>
        <v>-0.21294509716196564</v>
      </c>
      <c r="Q88" s="102">
        <f t="shared" si="20"/>
        <v>34383.084999999999</v>
      </c>
      <c r="S88" s="31">
        <f t="shared" si="21"/>
        <v>1.4532068239936461E-4</v>
      </c>
    </row>
    <row r="89" spans="1:19" s="31" customFormat="1" ht="12.95" customHeight="1" x14ac:dyDescent="0.2">
      <c r="A89" s="66" t="s">
        <v>61</v>
      </c>
      <c r="B89" s="67" t="s">
        <v>45</v>
      </c>
      <c r="C89" s="66">
        <v>49416.663</v>
      </c>
      <c r="D89" s="86"/>
      <c r="E89" s="31">
        <f t="shared" si="17"/>
        <v>10931.904646795218</v>
      </c>
      <c r="F89" s="31">
        <f t="shared" si="18"/>
        <v>10932</v>
      </c>
      <c r="G89" s="31">
        <f t="shared" si="22"/>
        <v>-0.20511999999871477</v>
      </c>
      <c r="I89" s="31">
        <f t="shared" si="15"/>
        <v>-0.20511999999871477</v>
      </c>
      <c r="O89" s="31">
        <f t="shared" ca="1" si="16"/>
        <v>-0.20819865889572181</v>
      </c>
      <c r="P89" s="40">
        <f t="shared" si="19"/>
        <v>-0.21329274822010838</v>
      </c>
      <c r="Q89" s="102">
        <f t="shared" si="20"/>
        <v>34398.163</v>
      </c>
      <c r="S89" s="31">
        <f t="shared" si="21"/>
        <v>6.6793813490292336E-5</v>
      </c>
    </row>
    <row r="90" spans="1:19" s="31" customFormat="1" ht="12.95" customHeight="1" x14ac:dyDescent="0.2">
      <c r="A90" s="68" t="s">
        <v>62</v>
      </c>
      <c r="B90" s="72" t="s">
        <v>45</v>
      </c>
      <c r="C90" s="70">
        <v>50849.284599999999</v>
      </c>
      <c r="D90" s="70"/>
      <c r="E90" s="31">
        <f t="shared" si="17"/>
        <v>11597.880957250973</v>
      </c>
      <c r="F90" s="31">
        <f t="shared" si="18"/>
        <v>11598</v>
      </c>
      <c r="G90" s="31">
        <f t="shared" si="22"/>
        <v>-0.25607999999920139</v>
      </c>
      <c r="J90" s="31">
        <f>+G90</f>
        <v>-0.25607999999920139</v>
      </c>
      <c r="O90" s="31">
        <f t="shared" ca="1" si="16"/>
        <v>-0.24768383231508201</v>
      </c>
      <c r="P90" s="40">
        <f t="shared" si="19"/>
        <v>-0.24764153004749931</v>
      </c>
      <c r="Q90" s="102">
        <f t="shared" si="20"/>
        <v>35830.784599999999</v>
      </c>
      <c r="S90" s="31">
        <f t="shared" si="21"/>
        <v>7.1207775125778949E-5</v>
      </c>
    </row>
    <row r="91" spans="1:19" s="31" customFormat="1" ht="12.95" customHeight="1" x14ac:dyDescent="0.2">
      <c r="A91" s="73" t="s">
        <v>62</v>
      </c>
      <c r="B91" s="74" t="s">
        <v>45</v>
      </c>
      <c r="C91" s="75">
        <v>51137.5314</v>
      </c>
      <c r="D91" s="75"/>
      <c r="E91" s="31">
        <f t="shared" si="17"/>
        <v>11731.876940813328</v>
      </c>
      <c r="F91" s="31">
        <f t="shared" si="18"/>
        <v>11732</v>
      </c>
      <c r="G91" s="31">
        <f t="shared" si="22"/>
        <v>-0.26471999999921536</v>
      </c>
      <c r="J91" s="31">
        <f>+G91</f>
        <v>-0.26471999999921536</v>
      </c>
      <c r="O91" s="31">
        <f t="shared" ca="1" si="16"/>
        <v>-0.25562829663669501</v>
      </c>
      <c r="P91" s="40">
        <f t="shared" si="19"/>
        <v>-0.25485683342865467</v>
      </c>
      <c r="Q91" s="102">
        <f t="shared" si="20"/>
        <v>36119.0314</v>
      </c>
      <c r="S91" s="31">
        <f t="shared" si="21"/>
        <v>9.7282054798625891E-5</v>
      </c>
    </row>
    <row r="92" spans="1:19" s="31" customFormat="1" ht="12.95" customHeight="1" x14ac:dyDescent="0.2">
      <c r="A92" s="73" t="s">
        <v>63</v>
      </c>
      <c r="B92" s="74" t="s">
        <v>45</v>
      </c>
      <c r="C92" s="75">
        <v>51193.457799999996</v>
      </c>
      <c r="D92" s="75">
        <v>2.3999999999999998E-3</v>
      </c>
      <c r="E92" s="31">
        <f t="shared" si="17"/>
        <v>11757.875192919168</v>
      </c>
      <c r="F92" s="31">
        <f t="shared" si="18"/>
        <v>11758</v>
      </c>
      <c r="G92" s="31">
        <f t="shared" si="22"/>
        <v>-0.26848000000609318</v>
      </c>
      <c r="K92" s="31">
        <f>+G92</f>
        <v>-0.26848000000609318</v>
      </c>
      <c r="O92" s="31">
        <f t="shared" ca="1" si="16"/>
        <v>-0.25716975986327667</v>
      </c>
      <c r="P92" s="40">
        <f t="shared" si="19"/>
        <v>-0.25626862582747562</v>
      </c>
      <c r="Q92" s="102">
        <f t="shared" si="20"/>
        <v>36174.957799999996</v>
      </c>
      <c r="S92" s="31">
        <f t="shared" si="21"/>
        <v>1.4911765933020774E-4</v>
      </c>
    </row>
    <row r="93" spans="1:19" s="31" customFormat="1" ht="12.95" customHeight="1" x14ac:dyDescent="0.2">
      <c r="A93" s="66" t="s">
        <v>61</v>
      </c>
      <c r="B93" s="67" t="s">
        <v>45</v>
      </c>
      <c r="C93" s="66">
        <v>51608.637999999999</v>
      </c>
      <c r="D93" s="86"/>
      <c r="E93" s="31">
        <f t="shared" si="17"/>
        <v>11950.878130868927</v>
      </c>
      <c r="F93" s="31">
        <f t="shared" si="18"/>
        <v>11951</v>
      </c>
      <c r="G93" s="31">
        <f t="shared" si="22"/>
        <v>-0.26215999999840278</v>
      </c>
      <c r="K93" s="31">
        <f>+G93</f>
        <v>-0.26215999999840278</v>
      </c>
      <c r="O93" s="31">
        <f t="shared" ca="1" si="16"/>
        <v>-0.26861215996828641</v>
      </c>
      <c r="P93" s="40">
        <f t="shared" si="19"/>
        <v>-0.26686844428981227</v>
      </c>
      <c r="Q93" s="102">
        <f t="shared" si="20"/>
        <v>36590.137999999999</v>
      </c>
      <c r="S93" s="31">
        <f t="shared" si="21"/>
        <v>2.2169447645306576E-5</v>
      </c>
    </row>
    <row r="94" spans="1:19" s="31" customFormat="1" ht="12.95" customHeight="1" x14ac:dyDescent="0.2">
      <c r="A94" s="66" t="s">
        <v>61</v>
      </c>
      <c r="B94" s="67" t="s">
        <v>45</v>
      </c>
      <c r="C94" s="66">
        <v>52264.712500000001</v>
      </c>
      <c r="D94" s="86"/>
      <c r="E94" s="31">
        <f t="shared" si="17"/>
        <v>12255.864510310717</v>
      </c>
      <c r="F94" s="31">
        <f t="shared" si="18"/>
        <v>12256</v>
      </c>
      <c r="G94" s="31">
        <f t="shared" si="22"/>
        <v>-0.2914600000003702</v>
      </c>
      <c r="K94" s="31">
        <f>+G94</f>
        <v>-0.2914600000003702</v>
      </c>
      <c r="O94" s="31">
        <f t="shared" ca="1" si="16"/>
        <v>-0.28669470935703251</v>
      </c>
      <c r="P94" s="40">
        <f t="shared" si="19"/>
        <v>-0.28405059253071463</v>
      </c>
      <c r="Q94" s="102">
        <f t="shared" si="20"/>
        <v>37246.212500000001</v>
      </c>
      <c r="S94" s="31">
        <f t="shared" si="21"/>
        <v>5.4899319051387771E-5</v>
      </c>
    </row>
    <row r="95" spans="1:19" s="31" customFormat="1" ht="12.95" customHeight="1" x14ac:dyDescent="0.2">
      <c r="A95" s="66" t="s">
        <v>61</v>
      </c>
      <c r="B95" s="67" t="s">
        <v>45</v>
      </c>
      <c r="C95" s="66">
        <v>52290.525600000001</v>
      </c>
      <c r="D95" s="86"/>
      <c r="E95" s="31">
        <f t="shared" si="17"/>
        <v>12267.864129121033</v>
      </c>
      <c r="F95" s="31">
        <f t="shared" si="18"/>
        <v>12268</v>
      </c>
      <c r="G95" s="31">
        <f t="shared" si="22"/>
        <v>-0.29228000000148313</v>
      </c>
      <c r="K95" s="31">
        <f>+G95</f>
        <v>-0.29228000000148313</v>
      </c>
      <c r="O95" s="31">
        <f t="shared" ca="1" si="16"/>
        <v>-0.28740615392314711</v>
      </c>
      <c r="P95" s="40">
        <f t="shared" si="19"/>
        <v>-0.28473740913252532</v>
      </c>
      <c r="Q95" s="102">
        <f t="shared" si="20"/>
        <v>37272.025600000001</v>
      </c>
      <c r="S95" s="31">
        <f t="shared" si="21"/>
        <v>5.6890677016485739E-5</v>
      </c>
    </row>
    <row r="96" spans="1:19" s="31" customFormat="1" ht="12.95" customHeight="1" x14ac:dyDescent="0.2">
      <c r="A96" s="8" t="s">
        <v>64</v>
      </c>
      <c r="B96" s="9" t="s">
        <v>45</v>
      </c>
      <c r="C96" s="8">
        <v>53028.362999999998</v>
      </c>
      <c r="D96" s="8">
        <v>2.2000000000000001E-3</v>
      </c>
      <c r="E96" s="31">
        <f t="shared" si="17"/>
        <v>12610.859257330929</v>
      </c>
      <c r="F96" s="31">
        <f t="shared" si="18"/>
        <v>12611</v>
      </c>
      <c r="G96" s="31">
        <f t="shared" si="22"/>
        <v>-0.30276000000594649</v>
      </c>
      <c r="K96" s="31">
        <f>+G96</f>
        <v>-0.30276000000594649</v>
      </c>
      <c r="O96" s="31">
        <f t="shared" ca="1" si="16"/>
        <v>-0.30774161110458936</v>
      </c>
      <c r="P96" s="40">
        <f t="shared" si="19"/>
        <v>-0.30471454697353562</v>
      </c>
      <c r="Q96" s="102">
        <f t="shared" si="20"/>
        <v>38009.862999999998</v>
      </c>
      <c r="S96" s="31">
        <f t="shared" si="21"/>
        <v>3.8202538485118298E-6</v>
      </c>
    </row>
    <row r="97" spans="1:19" s="31" customFormat="1" ht="12.95" customHeight="1" x14ac:dyDescent="0.2">
      <c r="A97" s="76" t="s">
        <v>65</v>
      </c>
      <c r="B97" s="77"/>
      <c r="C97" s="10">
        <v>53671.546300000002</v>
      </c>
      <c r="D97" s="10">
        <v>2.8E-3</v>
      </c>
      <c r="E97" s="31">
        <f t="shared" si="17"/>
        <v>12909.852963052494</v>
      </c>
      <c r="F97" s="31">
        <f t="shared" si="18"/>
        <v>12910</v>
      </c>
      <c r="G97" s="31">
        <f t="shared" si="22"/>
        <v>-0.31629999999131542</v>
      </c>
      <c r="J97" s="31">
        <f>+G97</f>
        <v>-0.31629999999131542</v>
      </c>
      <c r="O97" s="31">
        <f t="shared" ca="1" si="16"/>
        <v>-0.3254684382102781</v>
      </c>
      <c r="P97" s="40">
        <f t="shared" si="19"/>
        <v>-0.32267389271666652</v>
      </c>
      <c r="Q97" s="102">
        <f t="shared" si="20"/>
        <v>38653.046300000002</v>
      </c>
      <c r="S97" s="31">
        <f t="shared" si="21"/>
        <v>4.0626508474283729E-5</v>
      </c>
    </row>
    <row r="98" spans="1:19" s="31" customFormat="1" ht="12.95" customHeight="1" x14ac:dyDescent="0.2">
      <c r="A98" s="66" t="s">
        <v>66</v>
      </c>
      <c r="B98" s="67" t="s">
        <v>45</v>
      </c>
      <c r="C98" s="66">
        <v>53682.294999999998</v>
      </c>
      <c r="D98" s="86"/>
      <c r="E98" s="31">
        <f t="shared" si="17"/>
        <v>12914.84966250767</v>
      </c>
      <c r="F98" s="31">
        <f t="shared" si="18"/>
        <v>12915</v>
      </c>
      <c r="G98" s="31">
        <f t="shared" si="22"/>
        <v>-0.32340000000112923</v>
      </c>
      <c r="I98" s="31">
        <f>+G98</f>
        <v>-0.32340000000112923</v>
      </c>
      <c r="O98" s="31">
        <f t="shared" ca="1" si="16"/>
        <v>-0.32576487344615918</v>
      </c>
      <c r="P98" s="40">
        <f t="shared" si="19"/>
        <v>-0.32297853074432747</v>
      </c>
      <c r="Q98" s="102">
        <f t="shared" si="20"/>
        <v>38663.794999999998</v>
      </c>
      <c r="S98" s="31">
        <f t="shared" si="21"/>
        <v>1.7763633442902302E-7</v>
      </c>
    </row>
    <row r="99" spans="1:19" s="31" customFormat="1" ht="12.95" customHeight="1" x14ac:dyDescent="0.2">
      <c r="A99" s="10" t="s">
        <v>67</v>
      </c>
      <c r="B99" s="11" t="s">
        <v>45</v>
      </c>
      <c r="C99" s="10">
        <v>54097.462699999996</v>
      </c>
      <c r="D99" s="10">
        <v>2.9999999999999997E-4</v>
      </c>
      <c r="E99" s="31">
        <f t="shared" si="17"/>
        <v>13107.846789639078</v>
      </c>
      <c r="F99" s="31">
        <f t="shared" si="18"/>
        <v>13108</v>
      </c>
      <c r="G99" s="31">
        <f t="shared" si="22"/>
        <v>-0.32957999999780441</v>
      </c>
      <c r="K99" s="31">
        <f t="shared" ref="K99:K104" si="23">+G99</f>
        <v>-0.32957999999780441</v>
      </c>
      <c r="O99" s="31">
        <f t="shared" ca="1" si="16"/>
        <v>-0.33720727355116892</v>
      </c>
      <c r="P99" s="40">
        <f t="shared" si="19"/>
        <v>-0.33484602905734656</v>
      </c>
      <c r="Q99" s="102">
        <f t="shared" si="20"/>
        <v>39078.962699999996</v>
      </c>
      <c r="S99" s="31">
        <f t="shared" si="21"/>
        <v>2.7731062055942425E-5</v>
      </c>
    </row>
    <row r="100" spans="1:19" s="31" customFormat="1" ht="12.95" customHeight="1" x14ac:dyDescent="0.2">
      <c r="A100" s="66" t="s">
        <v>61</v>
      </c>
      <c r="B100" s="67" t="s">
        <v>45</v>
      </c>
      <c r="C100" s="66">
        <v>54116.821900000003</v>
      </c>
      <c r="D100" s="86"/>
      <c r="E100" s="31">
        <f t="shared" si="17"/>
        <v>13116.846213205899</v>
      </c>
      <c r="F100" s="31">
        <f t="shared" si="18"/>
        <v>13117</v>
      </c>
      <c r="G100" s="31">
        <f t="shared" si="22"/>
        <v>-0.3308199999955832</v>
      </c>
      <c r="K100" s="31">
        <f t="shared" si="23"/>
        <v>-0.3308199999955832</v>
      </c>
      <c r="O100" s="31">
        <f t="shared" ca="1" si="16"/>
        <v>-0.3377408569757549</v>
      </c>
      <c r="P100" s="40">
        <f t="shared" si="19"/>
        <v>-0.33540459610773032</v>
      </c>
      <c r="Q100" s="102">
        <f t="shared" si="20"/>
        <v>39098.321900000003</v>
      </c>
      <c r="S100" s="31">
        <f t="shared" si="21"/>
        <v>2.1018521511514499E-5</v>
      </c>
    </row>
    <row r="101" spans="1:19" s="31" customFormat="1" ht="12.95" customHeight="1" x14ac:dyDescent="0.2">
      <c r="A101" s="66" t="s">
        <v>68</v>
      </c>
      <c r="B101" s="67" t="s">
        <v>45</v>
      </c>
      <c r="C101" s="66">
        <v>54134.031600000002</v>
      </c>
      <c r="D101" s="86"/>
      <c r="E101" s="31">
        <f t="shared" si="17"/>
        <v>13124.846408449397</v>
      </c>
      <c r="F101" s="31">
        <f t="shared" si="18"/>
        <v>13125</v>
      </c>
      <c r="G101" s="31">
        <f t="shared" si="22"/>
        <v>-0.33039999999164138</v>
      </c>
      <c r="K101" s="31">
        <f t="shared" si="23"/>
        <v>-0.33039999999164138</v>
      </c>
      <c r="O101" s="31">
        <f t="shared" ca="1" si="16"/>
        <v>-0.3382151533531646</v>
      </c>
      <c r="P101" s="40">
        <f t="shared" si="19"/>
        <v>-0.33590148618853827</v>
      </c>
      <c r="Q101" s="102">
        <f t="shared" si="20"/>
        <v>39115.531600000002</v>
      </c>
      <c r="S101" s="31">
        <f t="shared" si="21"/>
        <v>3.0266350374646981E-5</v>
      </c>
    </row>
    <row r="102" spans="1:19" s="31" customFormat="1" ht="12.95" customHeight="1" x14ac:dyDescent="0.2">
      <c r="A102" s="8" t="s">
        <v>69</v>
      </c>
      <c r="B102" s="9" t="s">
        <v>45</v>
      </c>
      <c r="C102" s="8">
        <v>54166.298000000003</v>
      </c>
      <c r="D102" s="8">
        <v>1E-4</v>
      </c>
      <c r="E102" s="31">
        <f t="shared" si="17"/>
        <v>13139.845943583929</v>
      </c>
      <c r="F102" s="31">
        <f t="shared" si="18"/>
        <v>13140</v>
      </c>
      <c r="G102" s="31">
        <f t="shared" si="22"/>
        <v>-0.33139999999548309</v>
      </c>
      <c r="K102" s="31">
        <f t="shared" si="23"/>
        <v>-0.33139999999548309</v>
      </c>
      <c r="O102" s="31">
        <f t="shared" ca="1" si="16"/>
        <v>-0.33910445906080783</v>
      </c>
      <c r="P102" s="40">
        <f t="shared" si="19"/>
        <v>-0.33683413437261017</v>
      </c>
      <c r="Q102" s="102">
        <f t="shared" si="20"/>
        <v>39147.798000000003</v>
      </c>
      <c r="S102" s="31">
        <f t="shared" si="21"/>
        <v>2.9529816428674389E-5</v>
      </c>
    </row>
    <row r="103" spans="1:19" s="31" customFormat="1" ht="12.95" customHeight="1" x14ac:dyDescent="0.2">
      <c r="A103" s="76" t="s">
        <v>70</v>
      </c>
      <c r="B103" s="11" t="s">
        <v>45</v>
      </c>
      <c r="C103" s="10">
        <v>54514.775300000001</v>
      </c>
      <c r="D103" s="10">
        <v>1E-4</v>
      </c>
      <c r="E103" s="31">
        <f t="shared" si="17"/>
        <v>13301.841006712659</v>
      </c>
      <c r="F103" s="31">
        <f t="shared" si="18"/>
        <v>13302</v>
      </c>
      <c r="G103" s="31">
        <f t="shared" si="22"/>
        <v>-0.34201999999640975</v>
      </c>
      <c r="K103" s="31">
        <f t="shared" si="23"/>
        <v>-0.34201999999640975</v>
      </c>
      <c r="O103" s="31">
        <f t="shared" ca="1" si="16"/>
        <v>-0.34870896070335494</v>
      </c>
      <c r="P103" s="40">
        <f t="shared" si="19"/>
        <v>-0.34698812591431716</v>
      </c>
      <c r="Q103" s="102">
        <f t="shared" si="20"/>
        <v>39496.275300000001</v>
      </c>
      <c r="S103" s="31">
        <f t="shared" si="21"/>
        <v>2.4682275136183312E-5</v>
      </c>
    </row>
    <row r="104" spans="1:19" s="31" customFormat="1" ht="12.95" customHeight="1" x14ac:dyDescent="0.2">
      <c r="A104" s="10" t="s">
        <v>71</v>
      </c>
      <c r="B104" s="11" t="s">
        <v>45</v>
      </c>
      <c r="C104" s="10">
        <v>55123.5334</v>
      </c>
      <c r="D104" s="10">
        <v>2.0000000000000001E-4</v>
      </c>
      <c r="E104" s="31">
        <f t="shared" si="17"/>
        <v>13584.831625727515</v>
      </c>
      <c r="F104" s="31">
        <f t="shared" si="18"/>
        <v>13585</v>
      </c>
      <c r="G104" s="31">
        <f t="shared" si="22"/>
        <v>-0.36220000000321306</v>
      </c>
      <c r="K104" s="31">
        <f t="shared" si="23"/>
        <v>-0.36220000000321306</v>
      </c>
      <c r="O104" s="31">
        <f t="shared" ca="1" si="16"/>
        <v>-0.36548719505422417</v>
      </c>
      <c r="P104" s="40">
        <f t="shared" si="19"/>
        <v>-0.36508373815051476</v>
      </c>
      <c r="Q104" s="102">
        <f t="shared" si="20"/>
        <v>40105.0334</v>
      </c>
      <c r="S104" s="31">
        <f t="shared" si="21"/>
        <v>8.3159457022030146E-6</v>
      </c>
    </row>
    <row r="105" spans="1:19" s="31" customFormat="1" ht="12.95" customHeight="1" x14ac:dyDescent="0.2">
      <c r="A105" s="10" t="s">
        <v>72</v>
      </c>
      <c r="B105" s="11" t="s">
        <v>45</v>
      </c>
      <c r="C105" s="10">
        <v>55192.371500000001</v>
      </c>
      <c r="D105" s="10">
        <v>2.0000000000000001E-4</v>
      </c>
      <c r="E105" s="31">
        <f t="shared" si="17"/>
        <v>13616.832081295674</v>
      </c>
      <c r="F105" s="31">
        <f t="shared" si="18"/>
        <v>13617</v>
      </c>
      <c r="G105" s="31">
        <f t="shared" si="22"/>
        <v>-0.36121999999886611</v>
      </c>
      <c r="J105" s="31">
        <f>+G105</f>
        <v>-0.36121999999886611</v>
      </c>
      <c r="O105" s="31">
        <f t="shared" ca="1" si="16"/>
        <v>-0.36738438056386308</v>
      </c>
      <c r="P105" s="40">
        <f t="shared" si="19"/>
        <v>-0.36715849719881488</v>
      </c>
      <c r="Q105" s="102">
        <f t="shared" si="20"/>
        <v>40173.871500000001</v>
      </c>
      <c r="S105" s="31">
        <f t="shared" si="21"/>
        <v>3.5265748993799344E-5</v>
      </c>
    </row>
    <row r="106" spans="1:19" s="31" customFormat="1" ht="12.95" customHeight="1" x14ac:dyDescent="0.2">
      <c r="A106" s="76" t="s">
        <v>73</v>
      </c>
      <c r="B106" s="11" t="s">
        <v>45</v>
      </c>
      <c r="C106" s="10">
        <v>55209.580300000001</v>
      </c>
      <c r="D106" s="10">
        <v>2.9999999999999997E-4</v>
      </c>
      <c r="E106" s="31">
        <f t="shared" si="17"/>
        <v>13624.831858160251</v>
      </c>
      <c r="F106" s="31">
        <f t="shared" si="18"/>
        <v>13625</v>
      </c>
      <c r="G106" s="31">
        <f t="shared" si="22"/>
        <v>-0.36169999999401625</v>
      </c>
      <c r="K106" s="31">
        <f t="shared" ref="K106:K111" si="24">+G106</f>
        <v>-0.36169999999401625</v>
      </c>
      <c r="O106" s="31">
        <f t="shared" ca="1" si="16"/>
        <v>-0.36785867694127289</v>
      </c>
      <c r="P106" s="40">
        <f t="shared" si="19"/>
        <v>-0.36767809528094275</v>
      </c>
      <c r="Q106" s="102">
        <f t="shared" si="20"/>
        <v>40191.080300000001</v>
      </c>
      <c r="S106" s="31">
        <f t="shared" si="21"/>
        <v>3.5737623259572824E-5</v>
      </c>
    </row>
    <row r="107" spans="1:19" s="31" customFormat="1" ht="12.95" customHeight="1" x14ac:dyDescent="0.2">
      <c r="A107" s="10" t="s">
        <v>74</v>
      </c>
      <c r="B107" s="11" t="s">
        <v>45</v>
      </c>
      <c r="C107" s="10">
        <v>55566.662199999999</v>
      </c>
      <c r="D107" s="10">
        <v>2.9999999999999997E-4</v>
      </c>
      <c r="E107" s="31">
        <f t="shared" si="17"/>
        <v>13790.82690269436</v>
      </c>
      <c r="F107" s="31">
        <f t="shared" si="18"/>
        <v>13791</v>
      </c>
      <c r="G107" s="31">
        <f t="shared" si="22"/>
        <v>-0.37236000000120839</v>
      </c>
      <c r="K107" s="31">
        <f t="shared" si="24"/>
        <v>-0.37236000000120839</v>
      </c>
      <c r="O107" s="31">
        <f t="shared" ca="1" si="16"/>
        <v>-0.3777003267725248</v>
      </c>
      <c r="P107" s="40">
        <f t="shared" si="19"/>
        <v>-0.3785417427238611</v>
      </c>
      <c r="Q107" s="102">
        <f t="shared" si="20"/>
        <v>40548.162199999999</v>
      </c>
      <c r="S107" s="31">
        <f t="shared" si="21"/>
        <v>3.8213943089069683E-5</v>
      </c>
    </row>
    <row r="108" spans="1:19" s="31" customFormat="1" ht="12.95" customHeight="1" x14ac:dyDescent="0.2">
      <c r="A108" s="10" t="s">
        <v>75</v>
      </c>
      <c r="B108" s="11" t="s">
        <v>76</v>
      </c>
      <c r="C108" s="10">
        <v>55581.720699999998</v>
      </c>
      <c r="D108" s="10">
        <v>5.9999999999999995E-4</v>
      </c>
      <c r="E108" s="31">
        <f t="shared" si="17"/>
        <v>13797.827079343238</v>
      </c>
      <c r="F108" s="31">
        <f t="shared" si="18"/>
        <v>13798</v>
      </c>
      <c r="G108" s="31">
        <f t="shared" si="22"/>
        <v>-0.37198000000353204</v>
      </c>
      <c r="K108" s="31">
        <f t="shared" si="24"/>
        <v>-0.37198000000353204</v>
      </c>
      <c r="O108" s="31">
        <f t="shared" ca="1" si="16"/>
        <v>-0.37811533610275833</v>
      </c>
      <c r="P108" s="40">
        <f t="shared" si="19"/>
        <v>-0.37900328576262365</v>
      </c>
      <c r="Q108" s="102">
        <f t="shared" si="20"/>
        <v>40563.220699999998</v>
      </c>
      <c r="S108" s="31">
        <f t="shared" si="21"/>
        <v>4.9326542853859055E-5</v>
      </c>
    </row>
    <row r="109" spans="1:19" s="31" customFormat="1" ht="12.95" customHeight="1" x14ac:dyDescent="0.2">
      <c r="A109" s="10" t="s">
        <v>77</v>
      </c>
      <c r="B109" s="11" t="s">
        <v>45</v>
      </c>
      <c r="C109" s="10">
        <v>55882.871200000001</v>
      </c>
      <c r="D109" s="10">
        <v>4.0000000000000002E-4</v>
      </c>
      <c r="E109" s="31">
        <f t="shared" si="17"/>
        <v>13937.821547444171</v>
      </c>
      <c r="F109" s="31">
        <f t="shared" si="18"/>
        <v>13938</v>
      </c>
      <c r="G109" s="31">
        <f t="shared" si="22"/>
        <v>-0.38388000000122702</v>
      </c>
      <c r="K109" s="31">
        <f t="shared" si="24"/>
        <v>-0.38388000000122702</v>
      </c>
      <c r="O109" s="31">
        <f t="shared" ca="1" si="16"/>
        <v>-0.38641552270742857</v>
      </c>
      <c r="P109" s="40">
        <f t="shared" si="19"/>
        <v>-0.38829256287127134</v>
      </c>
      <c r="Q109" s="102">
        <f t="shared" si="20"/>
        <v>40864.371200000001</v>
      </c>
      <c r="S109" s="31">
        <f t="shared" si="21"/>
        <v>1.9470711082093793E-5</v>
      </c>
    </row>
    <row r="110" spans="1:19" s="31" customFormat="1" ht="12.95" customHeight="1" x14ac:dyDescent="0.2">
      <c r="A110" s="76" t="s">
        <v>78</v>
      </c>
      <c r="B110" s="11" t="s">
        <v>45</v>
      </c>
      <c r="C110" s="10">
        <v>55936.645499999999</v>
      </c>
      <c r="D110" s="10">
        <v>4.0000000000000002E-4</v>
      </c>
      <c r="E110" s="31">
        <f t="shared" si="17"/>
        <v>13962.819362576471</v>
      </c>
      <c r="F110" s="31">
        <f t="shared" si="18"/>
        <v>13963</v>
      </c>
      <c r="G110" s="31">
        <f t="shared" si="22"/>
        <v>-0.38857999999891035</v>
      </c>
      <c r="K110" s="31">
        <f t="shared" si="24"/>
        <v>-0.38857999999891035</v>
      </c>
      <c r="O110" s="31">
        <f t="shared" ca="1" si="16"/>
        <v>-0.38789769888683395</v>
      </c>
      <c r="P110" s="40">
        <f t="shared" si="19"/>
        <v>-0.38996307116813911</v>
      </c>
      <c r="Q110" s="102">
        <f t="shared" si="20"/>
        <v>40918.145499999999</v>
      </c>
      <c r="S110" s="31">
        <f t="shared" si="21"/>
        <v>1.9128858591517972E-6</v>
      </c>
    </row>
    <row r="111" spans="1:19" s="31" customFormat="1" ht="12.95" customHeight="1" x14ac:dyDescent="0.2">
      <c r="A111" s="66" t="s">
        <v>79</v>
      </c>
      <c r="B111" s="67" t="s">
        <v>45</v>
      </c>
      <c r="C111" s="66">
        <v>57010.030299999999</v>
      </c>
      <c r="D111" s="86"/>
      <c r="E111" s="31">
        <f t="shared" si="17"/>
        <v>14461.798889901263</v>
      </c>
      <c r="F111" s="31">
        <f t="shared" si="18"/>
        <v>14462</v>
      </c>
      <c r="G111" s="31">
        <f t="shared" si="22"/>
        <v>-0.43261999999958789</v>
      </c>
      <c r="K111" s="31">
        <f t="shared" si="24"/>
        <v>-0.43261999999958789</v>
      </c>
      <c r="O111" s="31">
        <f t="shared" ca="1" si="16"/>
        <v>-0.41748193542776607</v>
      </c>
      <c r="P111" s="40">
        <f t="shared" si="19"/>
        <v>-0.42404861644275682</v>
      </c>
      <c r="Q111" s="102">
        <f t="shared" si="20"/>
        <v>41991.530299999999</v>
      </c>
      <c r="S111" s="31">
        <f t="shared" si="21"/>
        <v>7.3468616078314037E-5</v>
      </c>
    </row>
    <row r="112" spans="1:19" s="31" customFormat="1" ht="12.95" customHeight="1" x14ac:dyDescent="0.2">
      <c r="A112" s="8" t="s">
        <v>80</v>
      </c>
      <c r="B112" s="11"/>
      <c r="C112" s="8">
        <v>57042.301099999997</v>
      </c>
      <c r="D112" s="8">
        <v>8.0000000000000004E-4</v>
      </c>
      <c r="E112" s="31">
        <f t="shared" si="17"/>
        <v>14476.800470443854</v>
      </c>
      <c r="F112" s="31">
        <f t="shared" si="18"/>
        <v>14477</v>
      </c>
      <c r="G112" s="31">
        <f t="shared" si="22"/>
        <v>-0.42922000000544358</v>
      </c>
      <c r="J112" s="31">
        <f>+G112</f>
        <v>-0.42922000000544358</v>
      </c>
      <c r="O112" s="31">
        <f t="shared" ca="1" si="16"/>
        <v>-0.4183712411354093</v>
      </c>
      <c r="P112" s="40">
        <f t="shared" si="19"/>
        <v>-0.42509511686844625</v>
      </c>
      <c r="Q112" s="102">
        <f t="shared" si="20"/>
        <v>42023.801099999997</v>
      </c>
      <c r="S112" s="31">
        <f t="shared" si="21"/>
        <v>1.70146608938849E-5</v>
      </c>
    </row>
    <row r="113" spans="1:19" s="31" customFormat="1" ht="12.95" customHeight="1" x14ac:dyDescent="0.2">
      <c r="A113" s="12" t="s">
        <v>81</v>
      </c>
      <c r="B113" s="13" t="s">
        <v>45</v>
      </c>
      <c r="C113" s="12">
        <v>57061.658900000002</v>
      </c>
      <c r="D113" s="12">
        <v>1E-4</v>
      </c>
      <c r="E113" s="31">
        <f t="shared" si="17"/>
        <v>14485.799243199021</v>
      </c>
      <c r="F113" s="31">
        <f t="shared" si="18"/>
        <v>14486</v>
      </c>
      <c r="G113" s="31">
        <f t="shared" si="22"/>
        <v>-0.43185999999695923</v>
      </c>
      <c r="K113" s="31">
        <f t="shared" ref="K113:K118" si="25">+G113</f>
        <v>-0.43185999999695923</v>
      </c>
      <c r="O113" s="31">
        <f t="shared" ca="1" si="16"/>
        <v>-0.41890482455999528</v>
      </c>
      <c r="P113" s="40">
        <f t="shared" si="19"/>
        <v>-0.42572363023989546</v>
      </c>
      <c r="Q113" s="102">
        <f t="shared" si="20"/>
        <v>42043.158900000002</v>
      </c>
      <c r="S113" s="31">
        <f t="shared" si="21"/>
        <v>3.7655033795406941E-5</v>
      </c>
    </row>
    <row r="114" spans="1:19" s="31" customFormat="1" ht="12.95" customHeight="1" x14ac:dyDescent="0.2">
      <c r="A114" s="66" t="s">
        <v>82</v>
      </c>
      <c r="B114" s="67" t="s">
        <v>45</v>
      </c>
      <c r="C114" s="66">
        <v>57076.717299999997</v>
      </c>
      <c r="D114" s="86"/>
      <c r="E114" s="31">
        <f t="shared" si="17"/>
        <v>14492.799373361349</v>
      </c>
      <c r="F114" s="31">
        <f t="shared" si="18"/>
        <v>14493</v>
      </c>
      <c r="G114" s="31">
        <f t="shared" si="22"/>
        <v>-0.43157999999675667</v>
      </c>
      <c r="K114" s="31">
        <f t="shared" si="25"/>
        <v>-0.43157999999675667</v>
      </c>
      <c r="O114" s="31">
        <f t="shared" ca="1" si="16"/>
        <v>-0.4193198338902287</v>
      </c>
      <c r="P114" s="40">
        <f t="shared" si="19"/>
        <v>-0.4262127918852634</v>
      </c>
      <c r="Q114" s="102">
        <f t="shared" si="20"/>
        <v>42058.217299999997</v>
      </c>
      <c r="S114" s="31">
        <f t="shared" si="21"/>
        <v>2.8806922912079166E-5</v>
      </c>
    </row>
    <row r="115" spans="1:19" s="31" customFormat="1" ht="12.95" customHeight="1" x14ac:dyDescent="0.2">
      <c r="A115" s="12" t="s">
        <v>83</v>
      </c>
      <c r="B115" s="13" t="s">
        <v>45</v>
      </c>
      <c r="C115" s="12">
        <v>57076.717299999997</v>
      </c>
      <c r="D115" s="12">
        <v>2.0000000000000001E-4</v>
      </c>
      <c r="E115" s="31">
        <f t="shared" si="17"/>
        <v>14492.799373361349</v>
      </c>
      <c r="F115" s="31">
        <f t="shared" si="18"/>
        <v>14493</v>
      </c>
      <c r="G115" s="31">
        <f t="shared" si="22"/>
        <v>-0.43157999999675667</v>
      </c>
      <c r="K115" s="31">
        <f t="shared" si="25"/>
        <v>-0.43157999999675667</v>
      </c>
      <c r="O115" s="31">
        <f t="shared" ca="1" si="16"/>
        <v>-0.4193198338902287</v>
      </c>
      <c r="P115" s="40">
        <f t="shared" si="19"/>
        <v>-0.4262127918852634</v>
      </c>
      <c r="Q115" s="102">
        <f t="shared" si="20"/>
        <v>42058.217299999997</v>
      </c>
      <c r="S115" s="31">
        <f t="shared" si="21"/>
        <v>2.8806922912079166E-5</v>
      </c>
    </row>
    <row r="116" spans="1:19" s="31" customFormat="1" ht="12.95" customHeight="1" x14ac:dyDescent="0.2">
      <c r="A116" s="12" t="s">
        <v>81</v>
      </c>
      <c r="B116" s="13" t="s">
        <v>45</v>
      </c>
      <c r="C116" s="12">
        <v>57334.850100000003</v>
      </c>
      <c r="D116" s="12">
        <v>2.0000000000000001E-4</v>
      </c>
      <c r="E116" s="31">
        <f t="shared" si="17"/>
        <v>14612.796398222357</v>
      </c>
      <c r="F116" s="31">
        <f t="shared" si="18"/>
        <v>14613</v>
      </c>
      <c r="G116" s="31">
        <f t="shared" si="22"/>
        <v>-0.43797999999515014</v>
      </c>
      <c r="K116" s="31">
        <f t="shared" si="25"/>
        <v>-0.43797999999515014</v>
      </c>
      <c r="O116" s="31">
        <f t="shared" ca="1" si="16"/>
        <v>-0.42643427955137475</v>
      </c>
      <c r="P116" s="40">
        <f t="shared" si="19"/>
        <v>-0.43464167883408489</v>
      </c>
      <c r="Q116" s="102">
        <f t="shared" si="20"/>
        <v>42316.350100000003</v>
      </c>
      <c r="S116" s="31">
        <f t="shared" si="21"/>
        <v>1.1144388174416037E-5</v>
      </c>
    </row>
    <row r="117" spans="1:19" s="31" customFormat="1" ht="12.95" customHeight="1" x14ac:dyDescent="0.2">
      <c r="A117" s="14" t="s">
        <v>84</v>
      </c>
      <c r="B117" s="15" t="s">
        <v>45</v>
      </c>
      <c r="C117" s="14">
        <v>57786.5766</v>
      </c>
      <c r="D117" s="14">
        <v>2.0000000000000001E-4</v>
      </c>
      <c r="E117" s="31">
        <f t="shared" si="17"/>
        <v>14822.788449022853</v>
      </c>
      <c r="F117" s="31">
        <f>ROUND(2*E117,0)/2</f>
        <v>14823</v>
      </c>
      <c r="G117" s="31">
        <f t="shared" si="22"/>
        <v>-0.45507999999972526</v>
      </c>
      <c r="K117" s="31">
        <f t="shared" si="25"/>
        <v>-0.45507999999972526</v>
      </c>
      <c r="O117" s="31">
        <f t="shared" ca="1" si="16"/>
        <v>-0.43888455945838017</v>
      </c>
      <c r="P117" s="40">
        <f t="shared" si="19"/>
        <v>-0.44958893905595593</v>
      </c>
      <c r="Q117" s="102">
        <f t="shared" si="20"/>
        <v>42768.0766</v>
      </c>
      <c r="S117" s="31">
        <f t="shared" si="21"/>
        <v>3.0151750288188952E-5</v>
      </c>
    </row>
    <row r="118" spans="1:19" s="31" customFormat="1" ht="12.95" customHeight="1" x14ac:dyDescent="0.2">
      <c r="A118" s="14" t="s">
        <v>85</v>
      </c>
      <c r="B118" s="15" t="s">
        <v>45</v>
      </c>
      <c r="C118" s="14">
        <v>58046.861400000002</v>
      </c>
      <c r="D118" s="14">
        <v>2.0000000000000001E-4</v>
      </c>
      <c r="E118" s="31">
        <f t="shared" si="17"/>
        <v>14943.785864370853</v>
      </c>
      <c r="F118" s="31">
        <f>ROUND(2*E118,0)/2</f>
        <v>14944</v>
      </c>
      <c r="G118" s="31">
        <f t="shared" si="22"/>
        <v>-0.46063999999751104</v>
      </c>
      <c r="K118" s="31">
        <f t="shared" si="25"/>
        <v>-0.46063999999751104</v>
      </c>
      <c r="O118" s="31">
        <f t="shared" ca="1" si="16"/>
        <v>-0.4460582921667024</v>
      </c>
      <c r="P118" s="40">
        <f t="shared" si="19"/>
        <v>-0.45831509281104649</v>
      </c>
      <c r="Q118" s="102">
        <f t="shared" si="20"/>
        <v>43028.361400000002</v>
      </c>
      <c r="S118" s="31">
        <f t="shared" si="21"/>
        <v>5.4051934256745251E-6</v>
      </c>
    </row>
    <row r="119" spans="1:19" s="31" customFormat="1" ht="12.95" customHeight="1" x14ac:dyDescent="0.2">
      <c r="A119" s="78" t="s">
        <v>86</v>
      </c>
      <c r="B119" s="79" t="s">
        <v>45</v>
      </c>
      <c r="C119" s="80">
        <v>58911.612200000003</v>
      </c>
      <c r="D119" s="80">
        <v>2.0000000000000001E-4</v>
      </c>
      <c r="E119" s="31">
        <f>+(C119-C$7)/C$8</f>
        <v>15345.778649658789</v>
      </c>
      <c r="F119" s="31">
        <f>ROUND(2*E119,0)/2</f>
        <v>15346</v>
      </c>
      <c r="G119" s="31">
        <f>+C119-(C$7+F119*C$8)</f>
        <v>-0.47615999999106862</v>
      </c>
      <c r="K119" s="31">
        <f>+G119</f>
        <v>-0.47615999999106862</v>
      </c>
      <c r="O119" s="31">
        <f ca="1">+C$11+C$12*$F119</f>
        <v>-0.46989168513154139</v>
      </c>
      <c r="P119" s="40">
        <f>+D$11+D$12*F119+D$13*F119^2</f>
        <v>-0.48790289933612574</v>
      </c>
      <c r="Q119" s="102">
        <f>+C119-15018.5</f>
        <v>43893.112200000003</v>
      </c>
      <c r="S119" s="31">
        <f>+(P119-G119)^2</f>
        <v>1.3789568502814301E-4</v>
      </c>
    </row>
    <row r="120" spans="1:19" s="31" customFormat="1" ht="12.95" customHeight="1" x14ac:dyDescent="0.2">
      <c r="A120" s="30" t="s">
        <v>421</v>
      </c>
      <c r="B120" s="29" t="s">
        <v>45</v>
      </c>
      <c r="C120" s="87">
        <v>59526.837299999999</v>
      </c>
      <c r="D120" s="30">
        <v>2.9999999999999997E-4</v>
      </c>
      <c r="E120" s="31">
        <f t="shared" ref="E120" si="26">+(C120-C$7)/C$8</f>
        <v>15631.77555365477</v>
      </c>
      <c r="F120" s="31">
        <f t="shared" ref="F120" si="27">ROUND(2*E120,0)/2</f>
        <v>15632</v>
      </c>
      <c r="G120" s="31">
        <f t="shared" ref="G120" si="28">+C120-(C$7+F120*C$8)</f>
        <v>-0.48282000000472181</v>
      </c>
      <c r="K120" s="31">
        <f t="shared" ref="K120" si="29">+G120</f>
        <v>-0.48282000000472181</v>
      </c>
      <c r="O120" s="31">
        <f t="shared" ref="O120" ca="1" si="30">+C$11+C$12*$F120</f>
        <v>-0.48684778062393935</v>
      </c>
      <c r="P120" s="40">
        <f t="shared" ref="P120" si="31">+D$11+D$12*F120+D$13*F120^2</f>
        <v>-0.50951145684448151</v>
      </c>
      <c r="Q120" s="102">
        <f t="shared" ref="Q120" si="32">+C120-15018.5</f>
        <v>44508.337299999999</v>
      </c>
      <c r="S120" s="31">
        <f t="shared" ref="S120" si="33">+(P120-G120)^2</f>
        <v>7.1243386822875533E-4</v>
      </c>
    </row>
    <row r="121" spans="1:19" s="31" customFormat="1" ht="12.95" customHeight="1" x14ac:dyDescent="0.2">
      <c r="A121" s="81" t="s">
        <v>422</v>
      </c>
      <c r="B121" s="82" t="s">
        <v>45</v>
      </c>
      <c r="C121" s="88">
        <v>59599.967699999921</v>
      </c>
      <c r="D121" s="86"/>
      <c r="E121" s="31">
        <f t="shared" ref="E121" si="34">+(C121-C$7)/C$8</f>
        <v>15665.771351270905</v>
      </c>
      <c r="F121" s="31">
        <f t="shared" ref="F121" si="35">ROUND(2*E121,0)/2</f>
        <v>15666</v>
      </c>
      <c r="G121" s="31">
        <f t="shared" ref="G121" si="36">+C121-(C$7+F121*C$8)</f>
        <v>-0.49186000008194242</v>
      </c>
      <c r="K121" s="31">
        <f t="shared" ref="K121" si="37">+G121</f>
        <v>-0.49186000008194242</v>
      </c>
      <c r="O121" s="31">
        <f t="shared" ref="O121" ca="1" si="38">+C$11+C$12*$F121</f>
        <v>-0.48886354022793072</v>
      </c>
      <c r="P121" s="40">
        <f t="shared" ref="P121" si="39">+D$11+D$12*F121+D$13*F121^2</f>
        <v>-0.51211118922027687</v>
      </c>
      <c r="Q121" s="102">
        <f t="shared" ref="Q121" si="40">+C121-15018.5</f>
        <v>44581.467699999921</v>
      </c>
      <c r="S121" s="31">
        <f t="shared" ref="S121" si="41">+(P121-G121)^2</f>
        <v>4.101106615165955E-4</v>
      </c>
    </row>
    <row r="122" spans="1:19" s="31" customFormat="1" ht="12.95" customHeight="1" x14ac:dyDescent="0.2">
      <c r="A122" s="83" t="s">
        <v>423</v>
      </c>
      <c r="B122" s="82" t="s">
        <v>45</v>
      </c>
      <c r="C122" s="30">
        <v>59993.6345</v>
      </c>
      <c r="D122" s="30">
        <v>2.9999999999999997E-4</v>
      </c>
      <c r="E122" s="31">
        <f t="shared" ref="E122" si="42">+(C122-C$7)/C$8</f>
        <v>15848.773452462856</v>
      </c>
      <c r="F122" s="31">
        <f t="shared" ref="F122" si="43">ROUND(2*E122,0)/2</f>
        <v>15849</v>
      </c>
      <c r="G122" s="31">
        <f t="shared" ref="G122" si="44">+C122-(C$7+F122*C$8)</f>
        <v>-0.48733999999240041</v>
      </c>
      <c r="K122" s="31">
        <f t="shared" ref="K122" si="45">+G122</f>
        <v>-0.48733999999240041</v>
      </c>
      <c r="O122" s="31">
        <f t="shared" ref="O122" ca="1" si="46">+C$11+C$12*$F122</f>
        <v>-0.49971306986117831</v>
      </c>
      <c r="P122" s="40">
        <f t="shared" ref="P122" si="47">+D$11+D$12*F122+D$13*F122^2</f>
        <v>-0.52621658609946242</v>
      </c>
      <c r="Q122" s="102">
        <f t="shared" ref="Q122" si="48">+C122-15018.5</f>
        <v>44975.1345</v>
      </c>
      <c r="S122" s="31">
        <f t="shared" ref="S122" si="49">+(P122-G122)^2</f>
        <v>1.5113889473398073E-3</v>
      </c>
    </row>
    <row r="123" spans="1:19" s="31" customFormat="1" ht="12.95" customHeight="1" x14ac:dyDescent="0.2">
      <c r="A123" s="89" t="s">
        <v>424</v>
      </c>
      <c r="B123" s="82" t="s">
        <v>45</v>
      </c>
      <c r="C123" s="90">
        <v>60266.825100000002</v>
      </c>
      <c r="D123" s="90">
        <v>2.0000000000000001E-4</v>
      </c>
      <c r="E123" s="31">
        <f t="shared" ref="E123" si="50">+(C123-C$7)/C$8</f>
        <v>15975.770328566912</v>
      </c>
      <c r="F123" s="31">
        <f t="shared" ref="F123" si="51">ROUND(2*E123,0)/2</f>
        <v>15976</v>
      </c>
      <c r="G123" s="31">
        <f t="shared" ref="G123" si="52">+C123-(C$7+F123*C$8)</f>
        <v>-0.49405999999726191</v>
      </c>
      <c r="K123" s="31">
        <f t="shared" ref="K123" si="53">+G123</f>
        <v>-0.49405999999726191</v>
      </c>
      <c r="O123" s="31">
        <f t="shared" ref="O123" ca="1" si="54">+C$11+C$12*$F123</f>
        <v>-0.50724252485255783</v>
      </c>
      <c r="P123" s="40">
        <f t="shared" ref="P123" si="55">+D$11+D$12*F123+D$13*F123^2</f>
        <v>-0.53611732912776977</v>
      </c>
      <c r="Q123" s="102">
        <f t="shared" ref="Q123" si="56">+C123-15018.5</f>
        <v>45248.325100000002</v>
      </c>
      <c r="S123" s="31">
        <f t="shared" ref="S123" si="57">+(P123-G123)^2</f>
        <v>1.768818933591865E-3</v>
      </c>
    </row>
    <row r="124" spans="1:19" s="31" customFormat="1" ht="12.95" customHeight="1" x14ac:dyDescent="0.2">
      <c r="A124" s="104" t="s">
        <v>430</v>
      </c>
      <c r="B124" s="105" t="s">
        <v>45</v>
      </c>
      <c r="C124" s="88">
        <v>60361.474999999999</v>
      </c>
      <c r="D124" s="106">
        <v>6.9999999999999999E-4</v>
      </c>
      <c r="E124" s="31">
        <f t="shared" ref="E124:E125" si="58">+(C124-C$7)/C$8</f>
        <v>16019.769798620282</v>
      </c>
      <c r="F124" s="31">
        <f t="shared" ref="F124:F125" si="59">ROUND(2*E124,0)/2</f>
        <v>16020</v>
      </c>
      <c r="G124" s="31">
        <f t="shared" ref="G124:G125" si="60">+C124-(C$7+F124*C$8)</f>
        <v>-0.49519999999756692</v>
      </c>
      <c r="K124" s="31">
        <f t="shared" ref="K124:K125" si="61">+G124</f>
        <v>-0.49519999999756692</v>
      </c>
      <c r="O124" s="31">
        <f t="shared" ref="O124:O125" ca="1" si="62">+C$11+C$12*$F124</f>
        <v>-0.50985115492831135</v>
      </c>
      <c r="P124" s="40">
        <f t="shared" ref="P124:P125" si="63">+D$11+D$12*F124+D$13*F124^2</f>
        <v>-0.53956886468998366</v>
      </c>
      <c r="Q124" s="102">
        <f t="shared" ref="Q124:Q125" si="64">+C124-15018.5</f>
        <v>45342.974999999999</v>
      </c>
      <c r="S124" s="31">
        <f t="shared" ref="S124:S125" si="65">+(P124-G124)^2</f>
        <v>1.9685961540939849E-3</v>
      </c>
    </row>
    <row r="125" spans="1:19" s="31" customFormat="1" ht="12.95" customHeight="1" x14ac:dyDescent="0.2">
      <c r="A125" s="104" t="s">
        <v>430</v>
      </c>
      <c r="B125" s="105" t="s">
        <v>45</v>
      </c>
      <c r="C125" s="88">
        <v>60374.379699999998</v>
      </c>
      <c r="D125" s="106">
        <v>2.0000000000000001E-4</v>
      </c>
      <c r="E125" s="31">
        <f t="shared" si="58"/>
        <v>16025.768748024324</v>
      </c>
      <c r="F125" s="31">
        <f t="shared" si="59"/>
        <v>16026</v>
      </c>
      <c r="G125" s="31">
        <f t="shared" si="60"/>
        <v>-0.49746000000595814</v>
      </c>
      <c r="K125" s="31">
        <f t="shared" si="61"/>
        <v>-0.49746000000595814</v>
      </c>
      <c r="O125" s="31">
        <f t="shared" ca="1" si="62"/>
        <v>-0.51020687721136859</v>
      </c>
      <c r="P125" s="40">
        <f t="shared" si="63"/>
        <v>-0.54004038018033518</v>
      </c>
      <c r="Q125" s="102">
        <f t="shared" si="64"/>
        <v>45355.879699999998</v>
      </c>
      <c r="S125" s="31">
        <f t="shared" si="65"/>
        <v>1.8130887757944814E-3</v>
      </c>
    </row>
    <row r="126" spans="1:19" s="31" customFormat="1" ht="12.95" customHeight="1" x14ac:dyDescent="0.2">
      <c r="C126" s="86"/>
      <c r="D126" s="86"/>
      <c r="Q126" s="102"/>
    </row>
    <row r="127" spans="1:19" s="31" customFormat="1" ht="12.95" customHeight="1" x14ac:dyDescent="0.2">
      <c r="C127" s="86"/>
      <c r="D127" s="86"/>
      <c r="Q127" s="102"/>
    </row>
    <row r="128" spans="1:19" s="31" customFormat="1" ht="12.95" customHeight="1" x14ac:dyDescent="0.2">
      <c r="C128" s="86"/>
      <c r="D128" s="86"/>
      <c r="Q128" s="102"/>
    </row>
    <row r="129" spans="3:17" s="31" customFormat="1" ht="12.95" customHeight="1" x14ac:dyDescent="0.2">
      <c r="C129" s="86"/>
      <c r="D129" s="86"/>
      <c r="Q129" s="102"/>
    </row>
    <row r="130" spans="3:17" s="31" customFormat="1" ht="12.95" customHeight="1" x14ac:dyDescent="0.2">
      <c r="C130" s="86"/>
      <c r="D130" s="86"/>
      <c r="Q130" s="102"/>
    </row>
    <row r="131" spans="3:17" s="31" customFormat="1" ht="12.95" customHeight="1" x14ac:dyDescent="0.2">
      <c r="C131" s="86"/>
      <c r="D131" s="86"/>
      <c r="Q131" s="102"/>
    </row>
    <row r="132" spans="3:17" s="31" customFormat="1" ht="12.95" customHeight="1" x14ac:dyDescent="0.2">
      <c r="C132" s="86"/>
      <c r="D132" s="86"/>
      <c r="Q132" s="102"/>
    </row>
    <row r="133" spans="3:17" s="31" customFormat="1" ht="12.95" customHeight="1" x14ac:dyDescent="0.2">
      <c r="C133" s="86"/>
      <c r="D133" s="86"/>
      <c r="Q133" s="102"/>
    </row>
    <row r="134" spans="3:17" s="31" customFormat="1" ht="12.95" customHeight="1" x14ac:dyDescent="0.2">
      <c r="C134" s="86"/>
      <c r="D134" s="86"/>
      <c r="Q134" s="102"/>
    </row>
    <row r="135" spans="3:17" s="31" customFormat="1" ht="12.95" customHeight="1" x14ac:dyDescent="0.2">
      <c r="C135" s="86"/>
      <c r="D135" s="86"/>
      <c r="Q135" s="102"/>
    </row>
    <row r="136" spans="3:17" s="31" customFormat="1" ht="12.95" customHeight="1" x14ac:dyDescent="0.2">
      <c r="C136" s="86"/>
      <c r="D136" s="86"/>
      <c r="Q136" s="102"/>
    </row>
    <row r="137" spans="3:17" s="31" customFormat="1" ht="12.95" customHeight="1" x14ac:dyDescent="0.2">
      <c r="C137" s="86"/>
      <c r="D137" s="86"/>
      <c r="Q137" s="102"/>
    </row>
    <row r="138" spans="3:17" s="31" customFormat="1" ht="12.95" customHeight="1" x14ac:dyDescent="0.2">
      <c r="C138" s="86"/>
      <c r="D138" s="86"/>
      <c r="Q138" s="102"/>
    </row>
    <row r="139" spans="3:17" s="31" customFormat="1" ht="12.95" customHeight="1" x14ac:dyDescent="0.2">
      <c r="C139" s="86"/>
      <c r="D139" s="86"/>
      <c r="Q139" s="102"/>
    </row>
    <row r="140" spans="3:17" s="31" customFormat="1" ht="12.95" customHeight="1" x14ac:dyDescent="0.2">
      <c r="C140" s="86"/>
      <c r="D140" s="86"/>
      <c r="Q140" s="102"/>
    </row>
    <row r="141" spans="3:17" s="31" customFormat="1" ht="12.95" customHeight="1" x14ac:dyDescent="0.2">
      <c r="C141" s="86"/>
      <c r="D141" s="86"/>
      <c r="Q141" s="102"/>
    </row>
    <row r="142" spans="3:17" s="31" customFormat="1" ht="12.95" customHeight="1" x14ac:dyDescent="0.2">
      <c r="C142" s="86"/>
      <c r="D142" s="86"/>
      <c r="Q142" s="102"/>
    </row>
    <row r="143" spans="3:17" s="31" customFormat="1" ht="12.95" customHeight="1" x14ac:dyDescent="0.2">
      <c r="C143" s="86"/>
      <c r="D143" s="86"/>
      <c r="Q143" s="102"/>
    </row>
    <row r="144" spans="3:17" s="31" customFormat="1" ht="12.95" customHeight="1" x14ac:dyDescent="0.2">
      <c r="C144" s="86"/>
      <c r="D144" s="86"/>
      <c r="Q144" s="102"/>
    </row>
    <row r="145" spans="3:17" s="31" customFormat="1" ht="12.95" customHeight="1" x14ac:dyDescent="0.2">
      <c r="C145" s="86"/>
      <c r="D145" s="86"/>
      <c r="Q145" s="102"/>
    </row>
    <row r="146" spans="3:17" s="31" customFormat="1" ht="12.95" customHeight="1" x14ac:dyDescent="0.2">
      <c r="C146" s="86"/>
      <c r="D146" s="86"/>
      <c r="Q146" s="102"/>
    </row>
    <row r="147" spans="3:17" s="31" customFormat="1" ht="12.95" customHeight="1" x14ac:dyDescent="0.2">
      <c r="C147" s="86"/>
      <c r="D147" s="86"/>
      <c r="Q147" s="102"/>
    </row>
    <row r="148" spans="3:17" s="31" customFormat="1" ht="12.95" customHeight="1" x14ac:dyDescent="0.2">
      <c r="C148" s="86"/>
      <c r="D148" s="86"/>
      <c r="Q148" s="102"/>
    </row>
    <row r="149" spans="3:17" s="31" customFormat="1" ht="12.95" customHeight="1" x14ac:dyDescent="0.2">
      <c r="C149" s="86"/>
      <c r="D149" s="86"/>
      <c r="Q149" s="102"/>
    </row>
    <row r="150" spans="3:17" s="31" customFormat="1" ht="12.95" customHeight="1" x14ac:dyDescent="0.2">
      <c r="C150" s="86"/>
      <c r="D150" s="86"/>
      <c r="Q150" s="102"/>
    </row>
    <row r="151" spans="3:17" s="31" customFormat="1" ht="12.95" customHeight="1" x14ac:dyDescent="0.2">
      <c r="C151" s="86"/>
      <c r="D151" s="86"/>
      <c r="Q151" s="102"/>
    </row>
    <row r="152" spans="3:17" s="31" customFormat="1" ht="12.95" customHeight="1" x14ac:dyDescent="0.2">
      <c r="C152" s="86"/>
      <c r="D152" s="86"/>
      <c r="Q152" s="102"/>
    </row>
    <row r="153" spans="3:17" s="31" customFormat="1" ht="12.95" customHeight="1" x14ac:dyDescent="0.2">
      <c r="C153" s="86"/>
      <c r="D153" s="86"/>
      <c r="Q153" s="102"/>
    </row>
    <row r="154" spans="3:17" s="31" customFormat="1" ht="12.95" customHeight="1" x14ac:dyDescent="0.2">
      <c r="C154" s="86"/>
      <c r="D154" s="86"/>
      <c r="Q154" s="102"/>
    </row>
    <row r="155" spans="3:17" s="31" customFormat="1" ht="12.95" customHeight="1" x14ac:dyDescent="0.2">
      <c r="C155" s="86"/>
      <c r="D155" s="86"/>
      <c r="Q155" s="102"/>
    </row>
    <row r="156" spans="3:17" s="31" customFormat="1" ht="12.95" customHeight="1" x14ac:dyDescent="0.2">
      <c r="C156" s="86"/>
      <c r="D156" s="86"/>
      <c r="Q156" s="102"/>
    </row>
    <row r="157" spans="3:17" s="31" customFormat="1" ht="12.95" customHeight="1" x14ac:dyDescent="0.2">
      <c r="C157" s="86"/>
      <c r="D157" s="86"/>
      <c r="Q157" s="102"/>
    </row>
    <row r="158" spans="3:17" s="31" customFormat="1" ht="12.95" customHeight="1" x14ac:dyDescent="0.2">
      <c r="C158" s="86"/>
      <c r="D158" s="86"/>
      <c r="Q158" s="102"/>
    </row>
    <row r="159" spans="3:17" s="31" customFormat="1" ht="12.95" customHeight="1" x14ac:dyDescent="0.2">
      <c r="C159" s="86"/>
      <c r="D159" s="86"/>
      <c r="Q159" s="102"/>
    </row>
    <row r="160" spans="3:17" s="31" customFormat="1" ht="12.95" customHeight="1" x14ac:dyDescent="0.2">
      <c r="C160" s="86"/>
      <c r="D160" s="86"/>
      <c r="Q160" s="102"/>
    </row>
    <row r="161" spans="3:17" s="31" customFormat="1" ht="12.95" customHeight="1" x14ac:dyDescent="0.2">
      <c r="C161" s="86"/>
      <c r="D161" s="86"/>
      <c r="Q161" s="102"/>
    </row>
    <row r="162" spans="3:17" s="31" customFormat="1" ht="12.95" customHeight="1" x14ac:dyDescent="0.2">
      <c r="C162" s="86"/>
      <c r="D162" s="86"/>
      <c r="Q162" s="102"/>
    </row>
    <row r="163" spans="3:17" s="31" customFormat="1" ht="12.95" customHeight="1" x14ac:dyDescent="0.2">
      <c r="C163" s="86"/>
      <c r="D163" s="86"/>
      <c r="Q163" s="102"/>
    </row>
    <row r="164" spans="3:17" s="31" customFormat="1" ht="12.95" customHeight="1" x14ac:dyDescent="0.2">
      <c r="C164" s="86"/>
      <c r="D164" s="86"/>
      <c r="Q164" s="102"/>
    </row>
    <row r="165" spans="3:17" s="31" customFormat="1" ht="12.95" customHeight="1" x14ac:dyDescent="0.2">
      <c r="C165" s="86"/>
      <c r="D165" s="86"/>
      <c r="Q165" s="102"/>
    </row>
    <row r="166" spans="3:17" s="31" customFormat="1" ht="12.95" customHeight="1" x14ac:dyDescent="0.2">
      <c r="C166" s="86"/>
      <c r="D166" s="86"/>
      <c r="Q166" s="102"/>
    </row>
    <row r="167" spans="3:17" s="31" customFormat="1" ht="12.95" customHeight="1" x14ac:dyDescent="0.2">
      <c r="C167" s="86"/>
      <c r="D167" s="86"/>
      <c r="Q167" s="102"/>
    </row>
    <row r="168" spans="3:17" s="31" customFormat="1" ht="12.95" customHeight="1" x14ac:dyDescent="0.2">
      <c r="C168" s="86"/>
      <c r="D168" s="86"/>
      <c r="Q168" s="102"/>
    </row>
    <row r="169" spans="3:17" s="31" customFormat="1" ht="12.95" customHeight="1" x14ac:dyDescent="0.2">
      <c r="C169" s="86"/>
      <c r="D169" s="86"/>
      <c r="Q169" s="102"/>
    </row>
    <row r="170" spans="3:17" s="31" customFormat="1" ht="12.95" customHeight="1" x14ac:dyDescent="0.2">
      <c r="C170" s="86"/>
      <c r="D170" s="86"/>
      <c r="Q170" s="102"/>
    </row>
    <row r="171" spans="3:17" s="31" customFormat="1" ht="12.95" customHeight="1" x14ac:dyDescent="0.2">
      <c r="C171" s="86"/>
      <c r="D171" s="86"/>
      <c r="Q171" s="102"/>
    </row>
    <row r="172" spans="3:17" s="31" customFormat="1" ht="12.95" customHeight="1" x14ac:dyDescent="0.2">
      <c r="C172" s="86"/>
      <c r="D172" s="86"/>
      <c r="Q172" s="102"/>
    </row>
    <row r="173" spans="3:17" s="31" customFormat="1" ht="12.95" customHeight="1" x14ac:dyDescent="0.2">
      <c r="C173" s="86"/>
      <c r="D173" s="86"/>
      <c r="Q173" s="102"/>
    </row>
    <row r="174" spans="3:17" s="31" customFormat="1" ht="12.95" customHeight="1" x14ac:dyDescent="0.2">
      <c r="C174" s="86"/>
      <c r="D174" s="86"/>
      <c r="Q174" s="102"/>
    </row>
    <row r="175" spans="3:17" s="31" customFormat="1" ht="12.95" customHeight="1" x14ac:dyDescent="0.2">
      <c r="C175" s="86"/>
      <c r="D175" s="86"/>
      <c r="Q175" s="102"/>
    </row>
    <row r="176" spans="3:17" s="31" customFormat="1" ht="12.95" customHeight="1" x14ac:dyDescent="0.2">
      <c r="C176" s="86"/>
      <c r="D176" s="86"/>
      <c r="Q176" s="102"/>
    </row>
    <row r="177" spans="3:17" s="31" customFormat="1" ht="12.95" customHeight="1" x14ac:dyDescent="0.2">
      <c r="C177" s="86"/>
      <c r="D177" s="86"/>
      <c r="Q177" s="102"/>
    </row>
    <row r="178" spans="3:17" s="31" customFormat="1" ht="12.95" customHeight="1" x14ac:dyDescent="0.2">
      <c r="C178" s="86"/>
      <c r="D178" s="86"/>
      <c r="Q178" s="102"/>
    </row>
    <row r="179" spans="3:17" s="31" customFormat="1" ht="12.95" customHeight="1" x14ac:dyDescent="0.2">
      <c r="C179" s="86"/>
      <c r="D179" s="86"/>
      <c r="Q179" s="102"/>
    </row>
    <row r="180" spans="3:17" s="31" customFormat="1" ht="12.95" customHeight="1" x14ac:dyDescent="0.2">
      <c r="C180" s="86"/>
      <c r="D180" s="86"/>
      <c r="Q180" s="102"/>
    </row>
    <row r="181" spans="3:17" s="31" customFormat="1" ht="12.95" customHeight="1" x14ac:dyDescent="0.2">
      <c r="C181" s="86"/>
      <c r="D181" s="86"/>
      <c r="Q181" s="102"/>
    </row>
    <row r="182" spans="3:17" s="31" customFormat="1" ht="12.95" customHeight="1" x14ac:dyDescent="0.2">
      <c r="C182" s="86"/>
      <c r="D182" s="86"/>
      <c r="Q182" s="102"/>
    </row>
    <row r="183" spans="3:17" s="31" customFormat="1" ht="12.95" customHeight="1" x14ac:dyDescent="0.2">
      <c r="C183" s="86"/>
      <c r="D183" s="86"/>
      <c r="Q183" s="102"/>
    </row>
    <row r="184" spans="3:17" s="31" customFormat="1" ht="12.95" customHeight="1" x14ac:dyDescent="0.2">
      <c r="C184" s="86"/>
      <c r="D184" s="86"/>
      <c r="Q184" s="102"/>
    </row>
    <row r="185" spans="3:17" s="31" customFormat="1" ht="12.95" customHeight="1" x14ac:dyDescent="0.2">
      <c r="C185" s="86"/>
      <c r="D185" s="86"/>
      <c r="Q185" s="102"/>
    </row>
    <row r="186" spans="3:17" s="31" customFormat="1" ht="12.95" customHeight="1" x14ac:dyDescent="0.2">
      <c r="C186" s="86"/>
      <c r="D186" s="86"/>
      <c r="Q186" s="102"/>
    </row>
    <row r="187" spans="3:17" s="31" customFormat="1" ht="12.95" customHeight="1" x14ac:dyDescent="0.2">
      <c r="C187" s="86"/>
      <c r="D187" s="86"/>
      <c r="Q187" s="102"/>
    </row>
    <row r="188" spans="3:17" s="31" customFormat="1" ht="12.95" customHeight="1" x14ac:dyDescent="0.2">
      <c r="C188" s="86"/>
      <c r="D188" s="86"/>
      <c r="Q188" s="102"/>
    </row>
    <row r="189" spans="3:17" s="31" customFormat="1" ht="12.95" customHeight="1" x14ac:dyDescent="0.2">
      <c r="C189" s="86"/>
      <c r="D189" s="86"/>
      <c r="Q189" s="102"/>
    </row>
    <row r="190" spans="3:17" s="31" customFormat="1" ht="12.95" customHeight="1" x14ac:dyDescent="0.2">
      <c r="C190" s="86"/>
      <c r="D190" s="86"/>
      <c r="Q190" s="102"/>
    </row>
    <row r="191" spans="3:17" s="31" customFormat="1" ht="12.95" customHeight="1" x14ac:dyDescent="0.2">
      <c r="C191" s="86"/>
      <c r="D191" s="86"/>
      <c r="Q191" s="102"/>
    </row>
    <row r="192" spans="3:17" s="31" customFormat="1" ht="12.95" customHeight="1" x14ac:dyDescent="0.2">
      <c r="C192" s="86"/>
      <c r="D192" s="86"/>
      <c r="Q192" s="102"/>
    </row>
    <row r="193" spans="3:17" s="31" customFormat="1" ht="12.95" customHeight="1" x14ac:dyDescent="0.2">
      <c r="C193" s="86"/>
      <c r="D193" s="86"/>
      <c r="Q193" s="102"/>
    </row>
    <row r="194" spans="3:17" s="31" customFormat="1" ht="12.95" customHeight="1" x14ac:dyDescent="0.2">
      <c r="C194" s="86"/>
      <c r="D194" s="86"/>
      <c r="Q194" s="102"/>
    </row>
    <row r="195" spans="3:17" s="31" customFormat="1" ht="12.95" customHeight="1" x14ac:dyDescent="0.2">
      <c r="C195" s="86"/>
      <c r="D195" s="86"/>
      <c r="Q195" s="102"/>
    </row>
    <row r="196" spans="3:17" s="31" customFormat="1" ht="12.95" customHeight="1" x14ac:dyDescent="0.2">
      <c r="C196" s="86"/>
      <c r="D196" s="86"/>
      <c r="Q196" s="102"/>
    </row>
    <row r="197" spans="3:17" s="31" customFormat="1" ht="12.95" customHeight="1" x14ac:dyDescent="0.2">
      <c r="C197" s="86"/>
      <c r="D197" s="86"/>
      <c r="Q197" s="102"/>
    </row>
    <row r="198" spans="3:17" s="31" customFormat="1" ht="12.95" customHeight="1" x14ac:dyDescent="0.2">
      <c r="C198" s="86"/>
      <c r="D198" s="86"/>
      <c r="Q198" s="102"/>
    </row>
    <row r="199" spans="3:17" s="31" customFormat="1" ht="12.95" customHeight="1" x14ac:dyDescent="0.2">
      <c r="C199" s="86"/>
      <c r="D199" s="86"/>
      <c r="Q199" s="102"/>
    </row>
    <row r="200" spans="3:17" s="31" customFormat="1" ht="12.95" customHeight="1" x14ac:dyDescent="0.2">
      <c r="C200" s="86"/>
      <c r="D200" s="86"/>
      <c r="Q200" s="102"/>
    </row>
    <row r="201" spans="3:17" s="31" customFormat="1" ht="12.95" customHeight="1" x14ac:dyDescent="0.2">
      <c r="C201" s="86"/>
      <c r="D201" s="86"/>
      <c r="Q201" s="102"/>
    </row>
    <row r="202" spans="3:17" s="31" customFormat="1" ht="12.95" customHeight="1" x14ac:dyDescent="0.2">
      <c r="C202" s="86"/>
      <c r="D202" s="86"/>
      <c r="Q202" s="102"/>
    </row>
    <row r="203" spans="3:17" s="31" customFormat="1" ht="12.95" customHeight="1" x14ac:dyDescent="0.2">
      <c r="C203" s="86"/>
      <c r="D203" s="86"/>
      <c r="Q203" s="102"/>
    </row>
    <row r="204" spans="3:17" s="31" customFormat="1" ht="12.95" customHeight="1" x14ac:dyDescent="0.2">
      <c r="C204" s="86"/>
      <c r="D204" s="86"/>
      <c r="Q204" s="102"/>
    </row>
    <row r="205" spans="3:17" s="31" customFormat="1" ht="12.95" customHeight="1" x14ac:dyDescent="0.2">
      <c r="C205" s="86"/>
      <c r="D205" s="86"/>
      <c r="Q205" s="102"/>
    </row>
    <row r="206" spans="3:17" s="31" customFormat="1" ht="12.95" customHeight="1" x14ac:dyDescent="0.2">
      <c r="C206" s="86"/>
      <c r="D206" s="86"/>
      <c r="Q206" s="102"/>
    </row>
    <row r="207" spans="3:17" s="31" customFormat="1" ht="12.95" customHeight="1" x14ac:dyDescent="0.2">
      <c r="C207" s="86"/>
      <c r="D207" s="86"/>
      <c r="Q207" s="102"/>
    </row>
    <row r="208" spans="3:17" s="31" customFormat="1" ht="12.95" customHeight="1" x14ac:dyDescent="0.2">
      <c r="C208" s="86"/>
      <c r="D208" s="86"/>
      <c r="Q208" s="102"/>
    </row>
    <row r="209" spans="3:17" s="31" customFormat="1" ht="12.95" customHeight="1" x14ac:dyDescent="0.2">
      <c r="C209" s="86"/>
      <c r="D209" s="86"/>
      <c r="Q209" s="102"/>
    </row>
    <row r="210" spans="3:17" s="31" customFormat="1" ht="12.95" customHeight="1" x14ac:dyDescent="0.2">
      <c r="C210" s="86"/>
      <c r="D210" s="86"/>
      <c r="Q210" s="102"/>
    </row>
    <row r="211" spans="3:17" s="31" customFormat="1" ht="12.95" customHeight="1" x14ac:dyDescent="0.2">
      <c r="C211" s="86"/>
      <c r="D211" s="86"/>
      <c r="Q211" s="102"/>
    </row>
    <row r="212" spans="3:17" s="31" customFormat="1" ht="12.95" customHeight="1" x14ac:dyDescent="0.2">
      <c r="C212" s="86"/>
      <c r="D212" s="86"/>
      <c r="Q212" s="102"/>
    </row>
    <row r="213" spans="3:17" s="31" customFormat="1" ht="12.95" customHeight="1" x14ac:dyDescent="0.2">
      <c r="C213" s="86"/>
      <c r="D213" s="86"/>
      <c r="Q213" s="102"/>
    </row>
    <row r="214" spans="3:17" s="31" customFormat="1" ht="12.95" customHeight="1" x14ac:dyDescent="0.2">
      <c r="C214" s="86"/>
      <c r="D214" s="86"/>
      <c r="Q214" s="102"/>
    </row>
    <row r="215" spans="3:17" s="31" customFormat="1" ht="12.95" customHeight="1" x14ac:dyDescent="0.2">
      <c r="C215" s="86"/>
      <c r="D215" s="86"/>
      <c r="Q215" s="102"/>
    </row>
    <row r="216" spans="3:17" s="31" customFormat="1" ht="12.95" customHeight="1" x14ac:dyDescent="0.2">
      <c r="C216" s="86"/>
      <c r="D216" s="86"/>
      <c r="Q216" s="102"/>
    </row>
    <row r="217" spans="3:17" s="31" customFormat="1" ht="12.95" customHeight="1" x14ac:dyDescent="0.2">
      <c r="C217" s="86"/>
      <c r="D217" s="86"/>
      <c r="Q217" s="102"/>
    </row>
    <row r="218" spans="3:17" s="31" customFormat="1" ht="12.95" customHeight="1" x14ac:dyDescent="0.2">
      <c r="C218" s="86"/>
      <c r="D218" s="86"/>
      <c r="Q218" s="102"/>
    </row>
    <row r="219" spans="3:17" s="31" customFormat="1" ht="12.95" customHeight="1" x14ac:dyDescent="0.2">
      <c r="C219" s="86"/>
      <c r="D219" s="86"/>
      <c r="Q219" s="102"/>
    </row>
    <row r="220" spans="3:17" s="31" customFormat="1" ht="12.95" customHeight="1" x14ac:dyDescent="0.2">
      <c r="C220" s="86"/>
      <c r="D220" s="86"/>
      <c r="Q220" s="102"/>
    </row>
    <row r="221" spans="3:17" s="31" customFormat="1" ht="12.95" customHeight="1" x14ac:dyDescent="0.2">
      <c r="C221" s="86"/>
      <c r="D221" s="86"/>
      <c r="Q221" s="102"/>
    </row>
    <row r="222" spans="3:17" s="31" customFormat="1" ht="12.95" customHeight="1" x14ac:dyDescent="0.2">
      <c r="C222" s="86"/>
      <c r="D222" s="86"/>
      <c r="Q222" s="102"/>
    </row>
    <row r="223" spans="3:17" s="31" customFormat="1" ht="12.95" customHeight="1" x14ac:dyDescent="0.2">
      <c r="C223" s="86"/>
      <c r="D223" s="86"/>
      <c r="Q223" s="102"/>
    </row>
    <row r="224" spans="3:17" s="31" customFormat="1" ht="12.95" customHeight="1" x14ac:dyDescent="0.2">
      <c r="C224" s="86"/>
      <c r="D224" s="86"/>
      <c r="Q224" s="102"/>
    </row>
    <row r="225" spans="3:17" s="31" customFormat="1" ht="12.95" customHeight="1" x14ac:dyDescent="0.2">
      <c r="C225" s="86"/>
      <c r="D225" s="86"/>
      <c r="Q225" s="102"/>
    </row>
    <row r="226" spans="3:17" s="31" customFormat="1" ht="12.95" customHeight="1" x14ac:dyDescent="0.2">
      <c r="C226" s="86"/>
      <c r="D226" s="86"/>
      <c r="Q226" s="102"/>
    </row>
    <row r="227" spans="3:17" s="31" customFormat="1" ht="12.95" customHeight="1" x14ac:dyDescent="0.2">
      <c r="Q227" s="102"/>
    </row>
    <row r="228" spans="3:17" s="31" customFormat="1" ht="12.95" customHeight="1" x14ac:dyDescent="0.2">
      <c r="Q228" s="102"/>
    </row>
    <row r="229" spans="3:17" s="31" customFormat="1" ht="12.95" customHeight="1" x14ac:dyDescent="0.2">
      <c r="Q229" s="102"/>
    </row>
    <row r="230" spans="3:17" s="31" customFormat="1" ht="12.95" customHeight="1" x14ac:dyDescent="0.2">
      <c r="Q230" s="102"/>
    </row>
    <row r="231" spans="3:17" s="31" customFormat="1" ht="12.95" customHeight="1" x14ac:dyDescent="0.2">
      <c r="Q231" s="102"/>
    </row>
    <row r="232" spans="3:17" s="31" customFormat="1" ht="12.95" customHeight="1" x14ac:dyDescent="0.2">
      <c r="Q232" s="102"/>
    </row>
    <row r="233" spans="3:17" s="31" customFormat="1" ht="12.95" customHeight="1" x14ac:dyDescent="0.2">
      <c r="Q233" s="102"/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2"/>
  <sheetViews>
    <sheetView topLeftCell="A55" workbookViewId="0">
      <selection activeCell="A41" sqref="A41"/>
    </sheetView>
  </sheetViews>
  <sheetFormatPr defaultRowHeight="12.75" x14ac:dyDescent="0.2"/>
  <cols>
    <col min="1" max="1" width="19.7109375" style="16" customWidth="1"/>
    <col min="2" max="2" width="4.42578125" customWidth="1"/>
    <col min="3" max="3" width="12.7109375" style="16" customWidth="1"/>
    <col min="4" max="4" width="5.42578125" customWidth="1"/>
    <col min="5" max="5" width="14.85546875" customWidth="1"/>
    <col min="7" max="7" width="12" customWidth="1"/>
    <col min="8" max="8" width="14.140625" style="1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17" t="s">
        <v>87</v>
      </c>
      <c r="I1" s="18" t="s">
        <v>88</v>
      </c>
      <c r="J1" s="19" t="s">
        <v>35</v>
      </c>
    </row>
    <row r="2" spans="1:16" x14ac:dyDescent="0.2">
      <c r="I2" s="20" t="s">
        <v>89</v>
      </c>
      <c r="J2" s="21" t="s">
        <v>34</v>
      </c>
    </row>
    <row r="3" spans="1:16" x14ac:dyDescent="0.2">
      <c r="A3" s="22" t="s">
        <v>90</v>
      </c>
      <c r="I3" s="20" t="s">
        <v>91</v>
      </c>
      <c r="J3" s="21" t="s">
        <v>32</v>
      </c>
    </row>
    <row r="4" spans="1:16" x14ac:dyDescent="0.2">
      <c r="I4" s="20" t="s">
        <v>92</v>
      </c>
      <c r="J4" s="21" t="s">
        <v>32</v>
      </c>
    </row>
    <row r="5" spans="1:16" x14ac:dyDescent="0.2">
      <c r="I5" s="23" t="s">
        <v>93</v>
      </c>
      <c r="J5" s="24" t="s">
        <v>33</v>
      </c>
    </row>
    <row r="11" spans="1:16" ht="12.75" customHeight="1" x14ac:dyDescent="0.2">
      <c r="A11" s="16" t="str">
        <f t="shared" ref="A11:A42" si="0">P11</f>
        <v> AAB 2.158 </v>
      </c>
      <c r="B11" s="7" t="str">
        <f t="shared" ref="B11:B42" si="1">IF(H11=INT(H11),"I","II")</f>
        <v>I</v>
      </c>
      <c r="C11" s="16">
        <f t="shared" ref="C11:C42" si="2">1*G11</f>
        <v>25900.386999999999</v>
      </c>
      <c r="D11" t="str">
        <f t="shared" ref="D11:D42" si="3">VLOOKUP(F11,I$1:J$5,2,FALSE)</f>
        <v>vis</v>
      </c>
      <c r="E11">
        <f>VLOOKUP(C11,Active!C$21:E$972,3,FALSE)</f>
        <v>0</v>
      </c>
      <c r="F11" s="7" t="s">
        <v>93</v>
      </c>
      <c r="G11" t="str">
        <f t="shared" ref="G11:G42" si="4">MID(I11,3,LEN(I11)-3)</f>
        <v>25900.387</v>
      </c>
      <c r="H11" s="16">
        <f t="shared" ref="H11:H42" si="5">1*K11</f>
        <v>0</v>
      </c>
      <c r="I11" s="25" t="s">
        <v>94</v>
      </c>
      <c r="J11" s="26" t="s">
        <v>95</v>
      </c>
      <c r="K11" s="25">
        <v>0</v>
      </c>
      <c r="L11" s="25" t="s">
        <v>96</v>
      </c>
      <c r="M11" s="26" t="s">
        <v>97</v>
      </c>
      <c r="N11" s="26"/>
      <c r="O11" s="27" t="s">
        <v>98</v>
      </c>
      <c r="P11" s="27" t="s">
        <v>44</v>
      </c>
    </row>
    <row r="12" spans="1:16" ht="12.75" customHeight="1" x14ac:dyDescent="0.2">
      <c r="A12" s="16" t="str">
        <f t="shared" si="0"/>
        <v> MHAR 19.5 </v>
      </c>
      <c r="B12" s="7" t="str">
        <f t="shared" si="1"/>
        <v>I</v>
      </c>
      <c r="C12" s="16">
        <f t="shared" si="2"/>
        <v>41356.406999999999</v>
      </c>
      <c r="D12" t="str">
        <f t="shared" si="3"/>
        <v>vis</v>
      </c>
      <c r="E12">
        <f>VLOOKUP(C12,Active!C$21:E$972,3,FALSE)</f>
        <v>7184.9699696907719</v>
      </c>
      <c r="F12" s="7" t="s">
        <v>93</v>
      </c>
      <c r="G12" t="str">
        <f t="shared" si="4"/>
        <v>41356.407</v>
      </c>
      <c r="H12" s="16">
        <f t="shared" si="5"/>
        <v>7185</v>
      </c>
      <c r="I12" s="25" t="s">
        <v>99</v>
      </c>
      <c r="J12" s="26" t="s">
        <v>100</v>
      </c>
      <c r="K12" s="25">
        <v>7185</v>
      </c>
      <c r="L12" s="25" t="s">
        <v>101</v>
      </c>
      <c r="M12" s="26" t="s">
        <v>102</v>
      </c>
      <c r="N12" s="26"/>
      <c r="O12" s="27" t="s">
        <v>103</v>
      </c>
      <c r="P12" s="27" t="s">
        <v>50</v>
      </c>
    </row>
    <row r="13" spans="1:16" ht="12.75" customHeight="1" x14ac:dyDescent="0.2">
      <c r="A13" s="16" t="str">
        <f t="shared" si="0"/>
        <v> MHAR 19.5 </v>
      </c>
      <c r="B13" s="7" t="str">
        <f t="shared" si="1"/>
        <v>I</v>
      </c>
      <c r="C13" s="16">
        <f t="shared" si="2"/>
        <v>42836.349000000002</v>
      </c>
      <c r="D13" t="str">
        <f t="shared" si="3"/>
        <v>vis</v>
      </c>
      <c r="E13">
        <f>VLOOKUP(C13,Active!C$21:E$972,3,FALSE)</f>
        <v>7872.9439000353314</v>
      </c>
      <c r="F13" s="7" t="s">
        <v>93</v>
      </c>
      <c r="G13" t="str">
        <f t="shared" si="4"/>
        <v>42836.349</v>
      </c>
      <c r="H13" s="16">
        <f t="shared" si="5"/>
        <v>7873</v>
      </c>
      <c r="I13" s="25" t="s">
        <v>104</v>
      </c>
      <c r="J13" s="26" t="s">
        <v>105</v>
      </c>
      <c r="K13" s="25">
        <v>7873</v>
      </c>
      <c r="L13" s="25" t="s">
        <v>106</v>
      </c>
      <c r="M13" s="26" t="s">
        <v>102</v>
      </c>
      <c r="N13" s="26"/>
      <c r="O13" s="27" t="s">
        <v>103</v>
      </c>
      <c r="P13" s="27" t="s">
        <v>50</v>
      </c>
    </row>
    <row r="14" spans="1:16" ht="12.75" customHeight="1" x14ac:dyDescent="0.2">
      <c r="A14" s="16" t="str">
        <f t="shared" si="0"/>
        <v> MHAR 19.5 </v>
      </c>
      <c r="B14" s="7" t="str">
        <f t="shared" si="1"/>
        <v>I</v>
      </c>
      <c r="C14" s="16">
        <f t="shared" si="2"/>
        <v>43436.544999999998</v>
      </c>
      <c r="D14" t="str">
        <f t="shared" si="3"/>
        <v>vis</v>
      </c>
      <c r="E14">
        <f>VLOOKUP(C14,Active!C$21:E$972,3,FALSE)</f>
        <v>8151.9542944271925</v>
      </c>
      <c r="F14" s="7" t="s">
        <v>93</v>
      </c>
      <c r="G14" t="str">
        <f t="shared" si="4"/>
        <v>43436.545</v>
      </c>
      <c r="H14" s="16">
        <f t="shared" si="5"/>
        <v>8152</v>
      </c>
      <c r="I14" s="25" t="s">
        <v>107</v>
      </c>
      <c r="J14" s="26" t="s">
        <v>108</v>
      </c>
      <c r="K14" s="25">
        <v>8152</v>
      </c>
      <c r="L14" s="25" t="s">
        <v>109</v>
      </c>
      <c r="M14" s="26" t="s">
        <v>102</v>
      </c>
      <c r="N14" s="26"/>
      <c r="O14" s="27" t="s">
        <v>103</v>
      </c>
      <c r="P14" s="27" t="s">
        <v>50</v>
      </c>
    </row>
    <row r="15" spans="1:16" ht="12.75" customHeight="1" x14ac:dyDescent="0.2">
      <c r="A15" s="16" t="str">
        <f t="shared" si="0"/>
        <v> MHAR 19.5 </v>
      </c>
      <c r="B15" s="7" t="str">
        <f t="shared" si="1"/>
        <v>I</v>
      </c>
      <c r="C15" s="16">
        <f t="shared" si="2"/>
        <v>44290.559999999998</v>
      </c>
      <c r="D15" t="str">
        <f t="shared" si="3"/>
        <v>vis</v>
      </c>
      <c r="E15">
        <f>VLOOKUP(C15,Active!C$21:E$972,3,FALSE)</f>
        <v>8548.9563770244895</v>
      </c>
      <c r="F15" s="7" t="s">
        <v>93</v>
      </c>
      <c r="G15" t="str">
        <f t="shared" si="4"/>
        <v>44290.560</v>
      </c>
      <c r="H15" s="16">
        <f t="shared" si="5"/>
        <v>8549</v>
      </c>
      <c r="I15" s="25" t="s">
        <v>110</v>
      </c>
      <c r="J15" s="26" t="s">
        <v>111</v>
      </c>
      <c r="K15" s="25">
        <v>8549</v>
      </c>
      <c r="L15" s="25" t="s">
        <v>112</v>
      </c>
      <c r="M15" s="26" t="s">
        <v>102</v>
      </c>
      <c r="N15" s="26"/>
      <c r="O15" s="27" t="s">
        <v>103</v>
      </c>
      <c r="P15" s="27" t="s">
        <v>50</v>
      </c>
    </row>
    <row r="16" spans="1:16" ht="12.75" customHeight="1" x14ac:dyDescent="0.2">
      <c r="A16" s="16" t="str">
        <f t="shared" si="0"/>
        <v> MHAR 19.5 </v>
      </c>
      <c r="B16" s="7" t="str">
        <f t="shared" si="1"/>
        <v>I</v>
      </c>
      <c r="C16" s="16">
        <f t="shared" si="2"/>
        <v>44985.336000000003</v>
      </c>
      <c r="D16" t="str">
        <f t="shared" si="3"/>
        <v>vis</v>
      </c>
      <c r="E16">
        <f>VLOOKUP(C16,Active!C$21:E$972,3,FALSE)</f>
        <v>8871.9337473735122</v>
      </c>
      <c r="F16" s="7" t="s">
        <v>93</v>
      </c>
      <c r="G16" t="str">
        <f t="shared" si="4"/>
        <v>44985.336</v>
      </c>
      <c r="H16" s="16">
        <f t="shared" si="5"/>
        <v>8872</v>
      </c>
      <c r="I16" s="25" t="s">
        <v>113</v>
      </c>
      <c r="J16" s="26" t="s">
        <v>114</v>
      </c>
      <c r="K16" s="25">
        <v>8872</v>
      </c>
      <c r="L16" s="25" t="s">
        <v>115</v>
      </c>
      <c r="M16" s="26" t="s">
        <v>102</v>
      </c>
      <c r="N16" s="26"/>
      <c r="O16" s="27" t="s">
        <v>103</v>
      </c>
      <c r="P16" s="27" t="s">
        <v>50</v>
      </c>
    </row>
    <row r="17" spans="1:16" ht="12.75" customHeight="1" x14ac:dyDescent="0.2">
      <c r="A17" s="16" t="str">
        <f t="shared" si="0"/>
        <v> BBS 86 </v>
      </c>
      <c r="B17" s="7" t="str">
        <f t="shared" si="1"/>
        <v>I</v>
      </c>
      <c r="C17" s="16">
        <f t="shared" si="2"/>
        <v>47151.542000000001</v>
      </c>
      <c r="D17" t="str">
        <f t="shared" si="3"/>
        <v>vis</v>
      </c>
      <c r="E17">
        <f>VLOOKUP(C17,Active!C$21:E$972,3,FALSE)</f>
        <v>9878.9281132040396</v>
      </c>
      <c r="F17" s="7" t="s">
        <v>93</v>
      </c>
      <c r="G17" t="str">
        <f t="shared" si="4"/>
        <v>47151.542</v>
      </c>
      <c r="H17" s="16">
        <f t="shared" si="5"/>
        <v>9879</v>
      </c>
      <c r="I17" s="25" t="s">
        <v>116</v>
      </c>
      <c r="J17" s="26" t="s">
        <v>117</v>
      </c>
      <c r="K17" s="25">
        <v>9879</v>
      </c>
      <c r="L17" s="25" t="s">
        <v>118</v>
      </c>
      <c r="M17" s="26" t="s">
        <v>97</v>
      </c>
      <c r="N17" s="26"/>
      <c r="O17" s="27" t="s">
        <v>119</v>
      </c>
      <c r="P17" s="27" t="s">
        <v>120</v>
      </c>
    </row>
    <row r="18" spans="1:16" ht="12.75" customHeight="1" x14ac:dyDescent="0.2">
      <c r="A18" s="16" t="str">
        <f t="shared" si="0"/>
        <v> BBS 87 </v>
      </c>
      <c r="B18" s="7" t="str">
        <f t="shared" si="1"/>
        <v>I</v>
      </c>
      <c r="C18" s="16">
        <f t="shared" si="2"/>
        <v>47205.32</v>
      </c>
      <c r="D18" t="str">
        <f t="shared" si="3"/>
        <v>vis</v>
      </c>
      <c r="E18">
        <f>VLOOKUP(C18,Active!C$21:E$972,3,FALSE)</f>
        <v>9903.9276483385711</v>
      </c>
      <c r="F18" s="7" t="s">
        <v>93</v>
      </c>
      <c r="G18" t="str">
        <f t="shared" si="4"/>
        <v>47205.320</v>
      </c>
      <c r="H18" s="16">
        <f t="shared" si="5"/>
        <v>9904</v>
      </c>
      <c r="I18" s="25" t="s">
        <v>121</v>
      </c>
      <c r="J18" s="26" t="s">
        <v>122</v>
      </c>
      <c r="K18" s="25">
        <v>9904</v>
      </c>
      <c r="L18" s="25" t="s">
        <v>123</v>
      </c>
      <c r="M18" s="26" t="s">
        <v>97</v>
      </c>
      <c r="N18" s="26"/>
      <c r="O18" s="27" t="s">
        <v>119</v>
      </c>
      <c r="P18" s="27" t="s">
        <v>124</v>
      </c>
    </row>
    <row r="19" spans="1:16" ht="12.75" customHeight="1" x14ac:dyDescent="0.2">
      <c r="A19" s="16" t="str">
        <f t="shared" si="0"/>
        <v> BBS 91 </v>
      </c>
      <c r="B19" s="7" t="str">
        <f t="shared" si="1"/>
        <v>I</v>
      </c>
      <c r="C19" s="16">
        <f t="shared" si="2"/>
        <v>47562.396000000001</v>
      </c>
      <c r="D19" t="str">
        <f t="shared" si="3"/>
        <v>vis</v>
      </c>
      <c r="E19">
        <f>VLOOKUP(C19,Active!C$21:E$972,3,FALSE)</f>
        <v>10069.919950166422</v>
      </c>
      <c r="F19" s="7" t="s">
        <v>93</v>
      </c>
      <c r="G19" t="str">
        <f t="shared" si="4"/>
        <v>47562.396</v>
      </c>
      <c r="H19" s="16">
        <f t="shared" si="5"/>
        <v>10070</v>
      </c>
      <c r="I19" s="25" t="s">
        <v>125</v>
      </c>
      <c r="J19" s="26" t="s">
        <v>126</v>
      </c>
      <c r="K19" s="25">
        <v>10070</v>
      </c>
      <c r="L19" s="25" t="s">
        <v>127</v>
      </c>
      <c r="M19" s="26" t="s">
        <v>97</v>
      </c>
      <c r="N19" s="26"/>
      <c r="O19" s="27" t="s">
        <v>119</v>
      </c>
      <c r="P19" s="27" t="s">
        <v>128</v>
      </c>
    </row>
    <row r="20" spans="1:16" ht="12.75" customHeight="1" x14ac:dyDescent="0.2">
      <c r="A20" s="16" t="str">
        <f t="shared" si="0"/>
        <v> BBS 94 </v>
      </c>
      <c r="B20" s="7" t="str">
        <f t="shared" si="1"/>
        <v>I</v>
      </c>
      <c r="C20" s="16">
        <f t="shared" si="2"/>
        <v>47932.370999999999</v>
      </c>
      <c r="D20" t="str">
        <f t="shared" si="3"/>
        <v>vis</v>
      </c>
      <c r="E20">
        <f>VLOOKUP(C20,Active!C$21:E$972,3,FALSE)</f>
        <v>10241.908551665148</v>
      </c>
      <c r="F20" s="7" t="s">
        <v>93</v>
      </c>
      <c r="G20" t="str">
        <f t="shared" si="4"/>
        <v>47932.371</v>
      </c>
      <c r="H20" s="16">
        <f t="shared" si="5"/>
        <v>10242</v>
      </c>
      <c r="I20" s="25" t="s">
        <v>129</v>
      </c>
      <c r="J20" s="26" t="s">
        <v>130</v>
      </c>
      <c r="K20" s="25">
        <v>10242</v>
      </c>
      <c r="L20" s="25" t="s">
        <v>131</v>
      </c>
      <c r="M20" s="26" t="s">
        <v>97</v>
      </c>
      <c r="N20" s="26"/>
      <c r="O20" s="27" t="s">
        <v>132</v>
      </c>
      <c r="P20" s="27" t="s">
        <v>133</v>
      </c>
    </row>
    <row r="21" spans="1:16" ht="12.75" customHeight="1" x14ac:dyDescent="0.2">
      <c r="A21" s="16" t="str">
        <f t="shared" si="0"/>
        <v>BAVM 59 </v>
      </c>
      <c r="B21" s="7" t="str">
        <f t="shared" si="1"/>
        <v>I</v>
      </c>
      <c r="C21" s="16">
        <f t="shared" si="2"/>
        <v>48205.586000000003</v>
      </c>
      <c r="D21" t="str">
        <f t="shared" si="3"/>
        <v>vis</v>
      </c>
      <c r="E21">
        <f>VLOOKUP(C21,Active!C$21:E$972,3,FALSE)</f>
        <v>10368.916770486623</v>
      </c>
      <c r="F21" s="7" t="s">
        <v>93</v>
      </c>
      <c r="G21" t="str">
        <f t="shared" si="4"/>
        <v>48205.586</v>
      </c>
      <c r="H21" s="16">
        <f t="shared" si="5"/>
        <v>10369</v>
      </c>
      <c r="I21" s="25" t="s">
        <v>134</v>
      </c>
      <c r="J21" s="26" t="s">
        <v>135</v>
      </c>
      <c r="K21" s="25">
        <v>10369</v>
      </c>
      <c r="L21" s="25" t="s">
        <v>136</v>
      </c>
      <c r="M21" s="26" t="s">
        <v>137</v>
      </c>
      <c r="N21" s="26"/>
      <c r="O21" s="27" t="s">
        <v>138</v>
      </c>
      <c r="P21" s="28" t="s">
        <v>139</v>
      </c>
    </row>
    <row r="22" spans="1:16" ht="12.75" customHeight="1" x14ac:dyDescent="0.2">
      <c r="A22" s="16" t="str">
        <f t="shared" si="0"/>
        <v> BBS 97 </v>
      </c>
      <c r="B22" s="7" t="str">
        <f t="shared" si="1"/>
        <v>I</v>
      </c>
      <c r="C22" s="16">
        <f t="shared" si="2"/>
        <v>48233.535000000003</v>
      </c>
      <c r="D22" t="str">
        <f t="shared" si="3"/>
        <v>vis</v>
      </c>
      <c r="E22">
        <f>VLOOKUP(C22,Active!C$21:E$972,3,FALSE)</f>
        <v>10381.909295449899</v>
      </c>
      <c r="F22" s="7" t="s">
        <v>93</v>
      </c>
      <c r="G22" t="str">
        <f t="shared" si="4"/>
        <v>48233.535</v>
      </c>
      <c r="H22" s="16">
        <f t="shared" si="5"/>
        <v>10382</v>
      </c>
      <c r="I22" s="25" t="s">
        <v>140</v>
      </c>
      <c r="J22" s="26" t="s">
        <v>141</v>
      </c>
      <c r="K22" s="25">
        <v>10382</v>
      </c>
      <c r="L22" s="25" t="s">
        <v>142</v>
      </c>
      <c r="M22" s="26" t="s">
        <v>143</v>
      </c>
      <c r="N22" s="26" t="s">
        <v>144</v>
      </c>
      <c r="O22" s="27" t="s">
        <v>145</v>
      </c>
      <c r="P22" s="27" t="s">
        <v>146</v>
      </c>
    </row>
    <row r="23" spans="1:16" ht="12.75" customHeight="1" x14ac:dyDescent="0.2">
      <c r="A23" s="16" t="str">
        <f t="shared" si="0"/>
        <v>BAVM 59 </v>
      </c>
      <c r="B23" s="7" t="str">
        <f t="shared" si="1"/>
        <v>I</v>
      </c>
      <c r="C23" s="16">
        <f t="shared" si="2"/>
        <v>48274.415999999997</v>
      </c>
      <c r="D23" t="str">
        <f t="shared" si="3"/>
        <v>vis</v>
      </c>
      <c r="E23">
        <f>VLOOKUP(C23,Active!C$21:E$972,3,FALSE)</f>
        <v>10400.91346064449</v>
      </c>
      <c r="F23" s="7" t="s">
        <v>93</v>
      </c>
      <c r="G23" t="str">
        <f t="shared" si="4"/>
        <v>48274.416</v>
      </c>
      <c r="H23" s="16">
        <f t="shared" si="5"/>
        <v>10401</v>
      </c>
      <c r="I23" s="25" t="s">
        <v>147</v>
      </c>
      <c r="J23" s="26" t="s">
        <v>148</v>
      </c>
      <c r="K23" s="25">
        <v>10401</v>
      </c>
      <c r="L23" s="25" t="s">
        <v>149</v>
      </c>
      <c r="M23" s="26" t="s">
        <v>137</v>
      </c>
      <c r="N23" s="26"/>
      <c r="O23" s="27" t="s">
        <v>138</v>
      </c>
      <c r="P23" s="28" t="s">
        <v>139</v>
      </c>
    </row>
    <row r="24" spans="1:16" ht="12.75" customHeight="1" x14ac:dyDescent="0.2">
      <c r="A24" s="16" t="str">
        <f t="shared" si="0"/>
        <v> BBS 97 </v>
      </c>
      <c r="B24" s="7" t="str">
        <f t="shared" si="1"/>
        <v>I</v>
      </c>
      <c r="C24" s="16">
        <f t="shared" si="2"/>
        <v>48330.341</v>
      </c>
      <c r="D24" t="str">
        <f t="shared" si="3"/>
        <v>vis</v>
      </c>
      <c r="E24">
        <f>VLOOKUP(C24,Active!C$21:E$972,3,FALSE)</f>
        <v>10426.911061938676</v>
      </c>
      <c r="F24" s="7" t="s">
        <v>93</v>
      </c>
      <c r="G24" t="str">
        <f t="shared" si="4"/>
        <v>48330.341</v>
      </c>
      <c r="H24" s="16">
        <f t="shared" si="5"/>
        <v>10427</v>
      </c>
      <c r="I24" s="25" t="s">
        <v>150</v>
      </c>
      <c r="J24" s="26" t="s">
        <v>151</v>
      </c>
      <c r="K24" s="25">
        <v>10427</v>
      </c>
      <c r="L24" s="25" t="s">
        <v>152</v>
      </c>
      <c r="M24" s="26" t="s">
        <v>97</v>
      </c>
      <c r="N24" s="26"/>
      <c r="O24" s="27" t="s">
        <v>132</v>
      </c>
      <c r="P24" s="27" t="s">
        <v>146</v>
      </c>
    </row>
    <row r="25" spans="1:16" ht="12.75" customHeight="1" x14ac:dyDescent="0.2">
      <c r="A25" s="16" t="str">
        <f t="shared" si="0"/>
        <v>BAVM 118 </v>
      </c>
      <c r="B25" s="7" t="str">
        <f t="shared" si="1"/>
        <v>I</v>
      </c>
      <c r="C25" s="16">
        <f t="shared" si="2"/>
        <v>50849.284599999999</v>
      </c>
      <c r="D25" t="str">
        <f t="shared" si="3"/>
        <v>PE</v>
      </c>
      <c r="E25">
        <f>VLOOKUP(C25,Active!C$21:E$972,3,FALSE)</f>
        <v>11597.880957250973</v>
      </c>
      <c r="F25" s="7" t="str">
        <f>LEFT(M25,1)</f>
        <v>E</v>
      </c>
      <c r="G25" t="str">
        <f t="shared" si="4"/>
        <v>50849.2846</v>
      </c>
      <c r="H25" s="16">
        <f t="shared" si="5"/>
        <v>11598</v>
      </c>
      <c r="I25" s="25" t="s">
        <v>153</v>
      </c>
      <c r="J25" s="26" t="s">
        <v>154</v>
      </c>
      <c r="K25" s="25">
        <v>11598</v>
      </c>
      <c r="L25" s="25" t="s">
        <v>155</v>
      </c>
      <c r="M25" s="26" t="s">
        <v>143</v>
      </c>
      <c r="N25" s="26" t="s">
        <v>156</v>
      </c>
      <c r="O25" s="27" t="s">
        <v>157</v>
      </c>
      <c r="P25" s="28" t="s">
        <v>158</v>
      </c>
    </row>
    <row r="26" spans="1:16" ht="12.75" customHeight="1" x14ac:dyDescent="0.2">
      <c r="A26" s="16" t="str">
        <f t="shared" si="0"/>
        <v>BAVM 118 </v>
      </c>
      <c r="B26" s="7" t="str">
        <f t="shared" si="1"/>
        <v>I</v>
      </c>
      <c r="C26" s="16">
        <f t="shared" si="2"/>
        <v>51137.5314</v>
      </c>
      <c r="D26" t="str">
        <f t="shared" si="3"/>
        <v>PE</v>
      </c>
      <c r="E26">
        <f>VLOOKUP(C26,Active!C$21:E$972,3,FALSE)</f>
        <v>11731.876940813328</v>
      </c>
      <c r="F26" s="7" t="str">
        <f>LEFT(M26,1)</f>
        <v>E</v>
      </c>
      <c r="G26" t="str">
        <f t="shared" si="4"/>
        <v>51137.5314</v>
      </c>
      <c r="H26" s="16">
        <f t="shared" si="5"/>
        <v>11732</v>
      </c>
      <c r="I26" s="25" t="s">
        <v>159</v>
      </c>
      <c r="J26" s="26" t="s">
        <v>160</v>
      </c>
      <c r="K26" s="25">
        <v>11732</v>
      </c>
      <c r="L26" s="25" t="s">
        <v>161</v>
      </c>
      <c r="M26" s="26" t="s">
        <v>143</v>
      </c>
      <c r="N26" s="26" t="s">
        <v>156</v>
      </c>
      <c r="O26" s="27" t="s">
        <v>157</v>
      </c>
      <c r="P26" s="28" t="s">
        <v>158</v>
      </c>
    </row>
    <row r="27" spans="1:16" ht="12.75" customHeight="1" x14ac:dyDescent="0.2">
      <c r="A27" s="16" t="str">
        <f t="shared" si="0"/>
        <v>IBVS 5263 </v>
      </c>
      <c r="B27" s="7" t="str">
        <f t="shared" si="1"/>
        <v>I</v>
      </c>
      <c r="C27" s="16">
        <f t="shared" si="2"/>
        <v>51193.457799999996</v>
      </c>
      <c r="D27" t="str">
        <f t="shared" si="3"/>
        <v>PE</v>
      </c>
      <c r="E27">
        <f>VLOOKUP(C27,Active!C$21:E$972,3,FALSE)</f>
        <v>11757.875192919168</v>
      </c>
      <c r="F27" s="7" t="str">
        <f>LEFT(M27,1)</f>
        <v>E</v>
      </c>
      <c r="G27" t="str">
        <f t="shared" si="4"/>
        <v>51193.4578</v>
      </c>
      <c r="H27" s="16">
        <f t="shared" si="5"/>
        <v>11758</v>
      </c>
      <c r="I27" s="25" t="s">
        <v>162</v>
      </c>
      <c r="J27" s="26" t="s">
        <v>163</v>
      </c>
      <c r="K27" s="25">
        <v>11758</v>
      </c>
      <c r="L27" s="25" t="s">
        <v>164</v>
      </c>
      <c r="M27" s="26" t="s">
        <v>143</v>
      </c>
      <c r="N27" s="26" t="s">
        <v>144</v>
      </c>
      <c r="O27" s="27" t="s">
        <v>165</v>
      </c>
      <c r="P27" s="28" t="s">
        <v>166</v>
      </c>
    </row>
    <row r="28" spans="1:16" ht="12.75" customHeight="1" x14ac:dyDescent="0.2">
      <c r="A28" s="16" t="str">
        <f t="shared" si="0"/>
        <v>IBVS 5583 </v>
      </c>
      <c r="B28" s="7" t="str">
        <f t="shared" si="1"/>
        <v>I</v>
      </c>
      <c r="C28" s="16">
        <f t="shared" si="2"/>
        <v>53028.362999999998</v>
      </c>
      <c r="D28" t="str">
        <f t="shared" si="3"/>
        <v>vis</v>
      </c>
      <c r="E28">
        <f>VLOOKUP(C28,Active!C$21:E$972,3,FALSE)</f>
        <v>12610.859257330929</v>
      </c>
      <c r="F28" s="7" t="s">
        <v>93</v>
      </c>
      <c r="G28" t="str">
        <f t="shared" si="4"/>
        <v>53028.3630</v>
      </c>
      <c r="H28" s="16">
        <f t="shared" si="5"/>
        <v>12611</v>
      </c>
      <c r="I28" s="25" t="s">
        <v>167</v>
      </c>
      <c r="J28" s="26" t="s">
        <v>168</v>
      </c>
      <c r="K28" s="25">
        <v>12611</v>
      </c>
      <c r="L28" s="25" t="s">
        <v>169</v>
      </c>
      <c r="M28" s="26" t="s">
        <v>143</v>
      </c>
      <c r="N28" s="26" t="s">
        <v>144</v>
      </c>
      <c r="O28" s="27" t="s">
        <v>165</v>
      </c>
      <c r="P28" s="28" t="s">
        <v>170</v>
      </c>
    </row>
    <row r="29" spans="1:16" ht="12.75" customHeight="1" x14ac:dyDescent="0.2">
      <c r="A29" s="16" t="str">
        <f t="shared" si="0"/>
        <v>BAVM 178 </v>
      </c>
      <c r="B29" s="7" t="str">
        <f t="shared" si="1"/>
        <v>I</v>
      </c>
      <c r="C29" s="16">
        <f t="shared" si="2"/>
        <v>53671.546300000002</v>
      </c>
      <c r="D29" t="str">
        <f t="shared" si="3"/>
        <v>vis</v>
      </c>
      <c r="E29">
        <f>VLOOKUP(C29,Active!C$21:E$972,3,FALSE)</f>
        <v>12909.852963052494</v>
      </c>
      <c r="F29" s="7" t="s">
        <v>93</v>
      </c>
      <c r="G29" t="str">
        <f t="shared" si="4"/>
        <v>53671.5463</v>
      </c>
      <c r="H29" s="16">
        <f t="shared" si="5"/>
        <v>12910</v>
      </c>
      <c r="I29" s="25" t="s">
        <v>171</v>
      </c>
      <c r="J29" s="26" t="s">
        <v>172</v>
      </c>
      <c r="K29" s="25">
        <v>12910</v>
      </c>
      <c r="L29" s="25" t="s">
        <v>173</v>
      </c>
      <c r="M29" s="26" t="s">
        <v>174</v>
      </c>
      <c r="N29" s="26" t="s">
        <v>156</v>
      </c>
      <c r="O29" s="27" t="s">
        <v>175</v>
      </c>
      <c r="P29" s="28" t="s">
        <v>176</v>
      </c>
    </row>
    <row r="30" spans="1:16" ht="12.75" customHeight="1" x14ac:dyDescent="0.2">
      <c r="A30" s="16" t="str">
        <f t="shared" si="0"/>
        <v> BBS 133 (=IBVS 5781) </v>
      </c>
      <c r="B30" s="7" t="str">
        <f t="shared" si="1"/>
        <v>I</v>
      </c>
      <c r="C30" s="16">
        <f t="shared" si="2"/>
        <v>54097.462699999996</v>
      </c>
      <c r="D30" t="str">
        <f t="shared" si="3"/>
        <v>vis</v>
      </c>
      <c r="E30">
        <f>VLOOKUP(C30,Active!C$21:E$972,3,FALSE)</f>
        <v>13107.846789639078</v>
      </c>
      <c r="F30" s="7" t="s">
        <v>93</v>
      </c>
      <c r="G30" t="str">
        <f t="shared" si="4"/>
        <v>54097.4627</v>
      </c>
      <c r="H30" s="16">
        <f t="shared" si="5"/>
        <v>13108</v>
      </c>
      <c r="I30" s="25" t="s">
        <v>177</v>
      </c>
      <c r="J30" s="26" t="s">
        <v>178</v>
      </c>
      <c r="K30" s="25">
        <v>13108</v>
      </c>
      <c r="L30" s="25" t="s">
        <v>179</v>
      </c>
      <c r="M30" s="26" t="s">
        <v>174</v>
      </c>
      <c r="N30" s="26" t="s">
        <v>93</v>
      </c>
      <c r="O30" s="27" t="s">
        <v>180</v>
      </c>
      <c r="P30" s="27" t="s">
        <v>181</v>
      </c>
    </row>
    <row r="31" spans="1:16" ht="12.75" customHeight="1" x14ac:dyDescent="0.2">
      <c r="A31" s="16" t="str">
        <f t="shared" si="0"/>
        <v>IBVS 5893 </v>
      </c>
      <c r="B31" s="7" t="str">
        <f t="shared" si="1"/>
        <v>I</v>
      </c>
      <c r="C31" s="16">
        <f t="shared" si="2"/>
        <v>54166.298000000003</v>
      </c>
      <c r="D31" t="str">
        <f t="shared" si="3"/>
        <v>vis</v>
      </c>
      <c r="E31">
        <f>VLOOKUP(C31,Active!C$21:E$972,3,FALSE)</f>
        <v>13139.845943583929</v>
      </c>
      <c r="F31" s="7" t="s">
        <v>93</v>
      </c>
      <c r="G31" t="str">
        <f t="shared" si="4"/>
        <v>54166.2980</v>
      </c>
      <c r="H31" s="16">
        <f t="shared" si="5"/>
        <v>13140</v>
      </c>
      <c r="I31" s="25" t="s">
        <v>182</v>
      </c>
      <c r="J31" s="26" t="s">
        <v>183</v>
      </c>
      <c r="K31" s="25">
        <v>13140</v>
      </c>
      <c r="L31" s="25" t="s">
        <v>184</v>
      </c>
      <c r="M31" s="26" t="s">
        <v>174</v>
      </c>
      <c r="N31" s="26" t="s">
        <v>88</v>
      </c>
      <c r="O31" s="27" t="s">
        <v>185</v>
      </c>
      <c r="P31" s="28" t="s">
        <v>186</v>
      </c>
    </row>
    <row r="32" spans="1:16" ht="12.75" customHeight="1" x14ac:dyDescent="0.2">
      <c r="A32" s="16" t="str">
        <f t="shared" si="0"/>
        <v>JAAVSO 36(2);171 </v>
      </c>
      <c r="B32" s="7" t="str">
        <f t="shared" si="1"/>
        <v>I</v>
      </c>
      <c r="C32" s="16">
        <f t="shared" si="2"/>
        <v>54514.775300000001</v>
      </c>
      <c r="D32" t="str">
        <f t="shared" si="3"/>
        <v>vis</v>
      </c>
      <c r="E32">
        <f>VLOOKUP(C32,Active!C$21:E$972,3,FALSE)</f>
        <v>13301.841006712659</v>
      </c>
      <c r="F32" s="7" t="s">
        <v>93</v>
      </c>
      <c r="G32" t="str">
        <f t="shared" si="4"/>
        <v>54514.7753</v>
      </c>
      <c r="H32" s="16">
        <f t="shared" si="5"/>
        <v>13302</v>
      </c>
      <c r="I32" s="25" t="s">
        <v>187</v>
      </c>
      <c r="J32" s="26" t="s">
        <v>188</v>
      </c>
      <c r="K32" s="25">
        <v>13302</v>
      </c>
      <c r="L32" s="25" t="s">
        <v>189</v>
      </c>
      <c r="M32" s="26" t="s">
        <v>174</v>
      </c>
      <c r="N32" s="26" t="s">
        <v>190</v>
      </c>
      <c r="O32" s="27" t="s">
        <v>191</v>
      </c>
      <c r="P32" s="28" t="s">
        <v>192</v>
      </c>
    </row>
    <row r="33" spans="1:16" ht="12.75" customHeight="1" x14ac:dyDescent="0.2">
      <c r="A33" s="16" t="str">
        <f t="shared" si="0"/>
        <v>IBVS 5924 </v>
      </c>
      <c r="B33" s="7" t="str">
        <f t="shared" si="1"/>
        <v>I</v>
      </c>
      <c r="C33" s="16">
        <f t="shared" si="2"/>
        <v>55123.5334</v>
      </c>
      <c r="D33" t="str">
        <f t="shared" si="3"/>
        <v>vis</v>
      </c>
      <c r="E33">
        <f>VLOOKUP(C33,Active!C$21:E$972,3,FALSE)</f>
        <v>13584.831625727515</v>
      </c>
      <c r="F33" s="7" t="s">
        <v>93</v>
      </c>
      <c r="G33" t="str">
        <f t="shared" si="4"/>
        <v>55123.5334</v>
      </c>
      <c r="H33" s="16">
        <f t="shared" si="5"/>
        <v>13585</v>
      </c>
      <c r="I33" s="25" t="s">
        <v>193</v>
      </c>
      <c r="J33" s="26" t="s">
        <v>194</v>
      </c>
      <c r="K33" s="25">
        <v>13585</v>
      </c>
      <c r="L33" s="25" t="s">
        <v>195</v>
      </c>
      <c r="M33" s="26" t="s">
        <v>174</v>
      </c>
      <c r="N33" s="26" t="s">
        <v>88</v>
      </c>
      <c r="O33" s="27" t="s">
        <v>196</v>
      </c>
      <c r="P33" s="28" t="s">
        <v>197</v>
      </c>
    </row>
    <row r="34" spans="1:16" ht="12.75" customHeight="1" x14ac:dyDescent="0.2">
      <c r="A34" s="16" t="str">
        <f t="shared" si="0"/>
        <v>BAVM 214 </v>
      </c>
      <c r="B34" s="7" t="str">
        <f t="shared" si="1"/>
        <v>I</v>
      </c>
      <c r="C34" s="16">
        <f t="shared" si="2"/>
        <v>55192.371500000001</v>
      </c>
      <c r="D34" t="str">
        <f t="shared" si="3"/>
        <v>vis</v>
      </c>
      <c r="E34">
        <f>VLOOKUP(C34,Active!C$21:E$972,3,FALSE)</f>
        <v>13616.832081295674</v>
      </c>
      <c r="F34" s="7" t="s">
        <v>93</v>
      </c>
      <c r="G34" t="str">
        <f t="shared" si="4"/>
        <v>55192.3715</v>
      </c>
      <c r="H34" s="16">
        <f t="shared" si="5"/>
        <v>13617</v>
      </c>
      <c r="I34" s="25" t="s">
        <v>198</v>
      </c>
      <c r="J34" s="26" t="s">
        <v>199</v>
      </c>
      <c r="K34" s="25">
        <v>13617</v>
      </c>
      <c r="L34" s="25" t="s">
        <v>200</v>
      </c>
      <c r="M34" s="26" t="s">
        <v>174</v>
      </c>
      <c r="N34" s="26" t="s">
        <v>201</v>
      </c>
      <c r="O34" s="27" t="s">
        <v>202</v>
      </c>
      <c r="P34" s="28" t="s">
        <v>203</v>
      </c>
    </row>
    <row r="35" spans="1:16" ht="12.75" customHeight="1" x14ac:dyDescent="0.2">
      <c r="A35" s="16" t="str">
        <f t="shared" si="0"/>
        <v> JAAVSO 38;120 </v>
      </c>
      <c r="B35" s="7" t="str">
        <f t="shared" si="1"/>
        <v>I</v>
      </c>
      <c r="C35" s="16">
        <f t="shared" si="2"/>
        <v>55209.580300000001</v>
      </c>
      <c r="D35" t="str">
        <f t="shared" si="3"/>
        <v>vis</v>
      </c>
      <c r="E35">
        <f>VLOOKUP(C35,Active!C$21:E$972,3,FALSE)</f>
        <v>13624.831858160251</v>
      </c>
      <c r="F35" s="7" t="s">
        <v>93</v>
      </c>
      <c r="G35" t="str">
        <f t="shared" si="4"/>
        <v>55209.5803</v>
      </c>
      <c r="H35" s="16">
        <f t="shared" si="5"/>
        <v>13625</v>
      </c>
      <c r="I35" s="25" t="s">
        <v>204</v>
      </c>
      <c r="J35" s="26" t="s">
        <v>205</v>
      </c>
      <c r="K35" s="25" t="s">
        <v>206</v>
      </c>
      <c r="L35" s="25" t="s">
        <v>207</v>
      </c>
      <c r="M35" s="26" t="s">
        <v>174</v>
      </c>
      <c r="N35" s="26" t="s">
        <v>190</v>
      </c>
      <c r="O35" s="27" t="s">
        <v>208</v>
      </c>
      <c r="P35" s="27" t="s">
        <v>209</v>
      </c>
    </row>
    <row r="36" spans="1:16" ht="12.75" customHeight="1" x14ac:dyDescent="0.2">
      <c r="A36" s="16" t="str">
        <f t="shared" si="0"/>
        <v>IBVS 5992 </v>
      </c>
      <c r="B36" s="7" t="str">
        <f t="shared" si="1"/>
        <v>I</v>
      </c>
      <c r="C36" s="16">
        <f t="shared" si="2"/>
        <v>55566.662199999999</v>
      </c>
      <c r="D36" t="str">
        <f t="shared" si="3"/>
        <v>vis</v>
      </c>
      <c r="E36">
        <f>VLOOKUP(C36,Active!C$21:E$972,3,FALSE)</f>
        <v>13790.82690269436</v>
      </c>
      <c r="F36" s="7" t="s">
        <v>93</v>
      </c>
      <c r="G36" t="str">
        <f t="shared" si="4"/>
        <v>55566.6622</v>
      </c>
      <c r="H36" s="16">
        <f t="shared" si="5"/>
        <v>13791</v>
      </c>
      <c r="I36" s="25" t="s">
        <v>210</v>
      </c>
      <c r="J36" s="26" t="s">
        <v>211</v>
      </c>
      <c r="K36" s="25" t="s">
        <v>212</v>
      </c>
      <c r="L36" s="25" t="s">
        <v>213</v>
      </c>
      <c r="M36" s="26" t="s">
        <v>174</v>
      </c>
      <c r="N36" s="26" t="s">
        <v>93</v>
      </c>
      <c r="O36" s="27" t="s">
        <v>214</v>
      </c>
      <c r="P36" s="28" t="s">
        <v>215</v>
      </c>
    </row>
    <row r="37" spans="1:16" ht="12.75" customHeight="1" x14ac:dyDescent="0.2">
      <c r="A37" s="16" t="str">
        <f t="shared" si="0"/>
        <v> JAAVSO 39;177 </v>
      </c>
      <c r="B37" s="7" t="str">
        <f t="shared" si="1"/>
        <v>I</v>
      </c>
      <c r="C37" s="16">
        <f t="shared" si="2"/>
        <v>55581.720699999998</v>
      </c>
      <c r="D37" t="str">
        <f t="shared" si="3"/>
        <v>vis</v>
      </c>
      <c r="E37">
        <f>VLOOKUP(C37,Active!C$21:E$972,3,FALSE)</f>
        <v>13797.827079343238</v>
      </c>
      <c r="F37" s="7" t="s">
        <v>93</v>
      </c>
      <c r="G37" t="str">
        <f t="shared" si="4"/>
        <v>55581.7207</v>
      </c>
      <c r="H37" s="16">
        <f t="shared" si="5"/>
        <v>13798</v>
      </c>
      <c r="I37" s="25" t="s">
        <v>216</v>
      </c>
      <c r="J37" s="26" t="s">
        <v>217</v>
      </c>
      <c r="K37" s="25" t="s">
        <v>218</v>
      </c>
      <c r="L37" s="25" t="s">
        <v>219</v>
      </c>
      <c r="M37" s="26" t="s">
        <v>174</v>
      </c>
      <c r="N37" s="26" t="s">
        <v>93</v>
      </c>
      <c r="O37" s="27" t="s">
        <v>220</v>
      </c>
      <c r="P37" s="27" t="s">
        <v>221</v>
      </c>
    </row>
    <row r="38" spans="1:16" ht="12.75" customHeight="1" x14ac:dyDescent="0.2">
      <c r="A38" s="16" t="str">
        <f t="shared" si="0"/>
        <v>IBVS 6011 </v>
      </c>
      <c r="B38" s="7" t="str">
        <f t="shared" si="1"/>
        <v>I</v>
      </c>
      <c r="C38" s="16">
        <f t="shared" si="2"/>
        <v>55882.871200000001</v>
      </c>
      <c r="D38" t="str">
        <f t="shared" si="3"/>
        <v>vis</v>
      </c>
      <c r="E38">
        <f>VLOOKUP(C38,Active!C$21:E$972,3,FALSE)</f>
        <v>13937.821547444171</v>
      </c>
      <c r="F38" s="7" t="s">
        <v>93</v>
      </c>
      <c r="G38" t="str">
        <f t="shared" si="4"/>
        <v>55882.8712</v>
      </c>
      <c r="H38" s="16">
        <f t="shared" si="5"/>
        <v>13938</v>
      </c>
      <c r="I38" s="25" t="s">
        <v>222</v>
      </c>
      <c r="J38" s="26" t="s">
        <v>223</v>
      </c>
      <c r="K38" s="25" t="s">
        <v>224</v>
      </c>
      <c r="L38" s="25" t="s">
        <v>225</v>
      </c>
      <c r="M38" s="26" t="s">
        <v>174</v>
      </c>
      <c r="N38" s="26" t="s">
        <v>93</v>
      </c>
      <c r="O38" s="27" t="s">
        <v>214</v>
      </c>
      <c r="P38" s="28" t="s">
        <v>226</v>
      </c>
    </row>
    <row r="39" spans="1:16" ht="12.75" customHeight="1" x14ac:dyDescent="0.2">
      <c r="A39" s="16" t="str">
        <f t="shared" si="0"/>
        <v> JAAVSO 41;122 </v>
      </c>
      <c r="B39" s="7" t="str">
        <f t="shared" si="1"/>
        <v>I</v>
      </c>
      <c r="C39" s="16">
        <f t="shared" si="2"/>
        <v>55936.645499999999</v>
      </c>
      <c r="D39" t="str">
        <f t="shared" si="3"/>
        <v>vis</v>
      </c>
      <c r="E39">
        <f>VLOOKUP(C39,Active!C$21:E$972,3,FALSE)</f>
        <v>13962.819362576471</v>
      </c>
      <c r="F39" s="7" t="s">
        <v>93</v>
      </c>
      <c r="G39" t="str">
        <f t="shared" si="4"/>
        <v>55936.6455</v>
      </c>
      <c r="H39" s="16">
        <f t="shared" si="5"/>
        <v>13963</v>
      </c>
      <c r="I39" s="25" t="s">
        <v>227</v>
      </c>
      <c r="J39" s="26" t="s">
        <v>228</v>
      </c>
      <c r="K39" s="25" t="s">
        <v>229</v>
      </c>
      <c r="L39" s="25" t="s">
        <v>230</v>
      </c>
      <c r="M39" s="26" t="s">
        <v>174</v>
      </c>
      <c r="N39" s="26" t="s">
        <v>93</v>
      </c>
      <c r="O39" s="27" t="s">
        <v>220</v>
      </c>
      <c r="P39" s="27" t="s">
        <v>231</v>
      </c>
    </row>
    <row r="40" spans="1:16" ht="12.75" customHeight="1" x14ac:dyDescent="0.2">
      <c r="A40" s="16" t="str">
        <f t="shared" si="0"/>
        <v>BAVM 239 </v>
      </c>
      <c r="B40" s="7" t="str">
        <f t="shared" si="1"/>
        <v>I</v>
      </c>
      <c r="C40" s="16">
        <f t="shared" si="2"/>
        <v>57042.301099999997</v>
      </c>
      <c r="D40" t="str">
        <f t="shared" si="3"/>
        <v>vis</v>
      </c>
      <c r="E40">
        <f>VLOOKUP(C40,Active!C$21:E$972,3,FALSE)</f>
        <v>14476.800470443854</v>
      </c>
      <c r="F40" s="7" t="s">
        <v>93</v>
      </c>
      <c r="G40" t="str">
        <f t="shared" si="4"/>
        <v>57042.3011</v>
      </c>
      <c r="H40" s="16">
        <f t="shared" si="5"/>
        <v>14477</v>
      </c>
      <c r="I40" s="25" t="s">
        <v>232</v>
      </c>
      <c r="J40" s="26" t="s">
        <v>233</v>
      </c>
      <c r="K40" s="25" t="s">
        <v>234</v>
      </c>
      <c r="L40" s="25" t="s">
        <v>235</v>
      </c>
      <c r="M40" s="26" t="s">
        <v>174</v>
      </c>
      <c r="N40" s="26" t="s">
        <v>236</v>
      </c>
      <c r="O40" s="27" t="s">
        <v>237</v>
      </c>
      <c r="P40" s="28" t="s">
        <v>238</v>
      </c>
    </row>
    <row r="41" spans="1:16" ht="12.75" customHeight="1" x14ac:dyDescent="0.2">
      <c r="A41" s="16" t="str">
        <f t="shared" si="0"/>
        <v> AAB 2.158 </v>
      </c>
      <c r="B41" s="7" t="str">
        <f t="shared" si="1"/>
        <v>I</v>
      </c>
      <c r="C41" s="16">
        <f t="shared" si="2"/>
        <v>25889.64</v>
      </c>
      <c r="D41" t="str">
        <f t="shared" si="3"/>
        <v>vis</v>
      </c>
      <c r="E41">
        <f>VLOOKUP(C41,Active!C$21:E$972,3,FALSE)</f>
        <v>-4.9959091838819001</v>
      </c>
      <c r="F41" s="7" t="s">
        <v>93</v>
      </c>
      <c r="G41" t="str">
        <f t="shared" si="4"/>
        <v>25889.640</v>
      </c>
      <c r="H41" s="16">
        <f t="shared" si="5"/>
        <v>-5</v>
      </c>
      <c r="I41" s="25" t="s">
        <v>239</v>
      </c>
      <c r="J41" s="26" t="s">
        <v>240</v>
      </c>
      <c r="K41" s="25">
        <v>-5</v>
      </c>
      <c r="L41" s="25" t="s">
        <v>241</v>
      </c>
      <c r="M41" s="26" t="s">
        <v>97</v>
      </c>
      <c r="N41" s="26"/>
      <c r="O41" s="27" t="s">
        <v>98</v>
      </c>
      <c r="P41" s="27" t="s">
        <v>44</v>
      </c>
    </row>
    <row r="42" spans="1:16" ht="12.75" customHeight="1" x14ac:dyDescent="0.2">
      <c r="A42" s="16" t="str">
        <f t="shared" si="0"/>
        <v> AAB 2.158 </v>
      </c>
      <c r="B42" s="7" t="str">
        <f t="shared" si="1"/>
        <v>I</v>
      </c>
      <c r="C42" s="16">
        <f t="shared" si="2"/>
        <v>25941.262999999999</v>
      </c>
      <c r="D42" t="str">
        <f t="shared" si="3"/>
        <v>vis</v>
      </c>
      <c r="E42">
        <f>VLOOKUP(C42,Active!C$21:E$972,3,FALSE)</f>
        <v>19.001840867253112</v>
      </c>
      <c r="F42" s="7" t="s">
        <v>93</v>
      </c>
      <c r="G42" t="str">
        <f t="shared" si="4"/>
        <v>25941.263</v>
      </c>
      <c r="H42" s="16">
        <f t="shared" si="5"/>
        <v>19</v>
      </c>
      <c r="I42" s="25" t="s">
        <v>242</v>
      </c>
      <c r="J42" s="26" t="s">
        <v>243</v>
      </c>
      <c r="K42" s="25">
        <v>19</v>
      </c>
      <c r="L42" s="25" t="s">
        <v>244</v>
      </c>
      <c r="M42" s="26" t="s">
        <v>97</v>
      </c>
      <c r="N42" s="26"/>
      <c r="O42" s="27" t="s">
        <v>98</v>
      </c>
      <c r="P42" s="27" t="s">
        <v>44</v>
      </c>
    </row>
    <row r="43" spans="1:16" ht="12.75" customHeight="1" x14ac:dyDescent="0.2">
      <c r="A43" s="16" t="str">
        <f t="shared" ref="A43:A74" si="6">P43</f>
        <v> AAB 2.158 </v>
      </c>
      <c r="B43" s="7" t="str">
        <f t="shared" ref="B43:B74" si="7">IF(H43=INT(H43),"I","II")</f>
        <v>I</v>
      </c>
      <c r="C43" s="16">
        <f t="shared" ref="C43:C74" si="8">1*G43</f>
        <v>26330.615000000002</v>
      </c>
      <c r="D43" t="str">
        <f t="shared" ref="D43:D74" si="9">VLOOKUP(F43,I$1:J$5,2,FALSE)</f>
        <v>vis</v>
      </c>
      <c r="E43">
        <f>VLOOKUP(C43,Active!C$21:E$972,3,FALSE)</f>
        <v>199.99814053812958</v>
      </c>
      <c r="F43" s="7" t="s">
        <v>93</v>
      </c>
      <c r="G43" t="str">
        <f t="shared" ref="G43:G74" si="10">MID(I43,3,LEN(I43)-3)</f>
        <v>26330.615</v>
      </c>
      <c r="H43" s="16">
        <f t="shared" ref="H43:H74" si="11">1*K43</f>
        <v>200</v>
      </c>
      <c r="I43" s="25" t="s">
        <v>245</v>
      </c>
      <c r="J43" s="26" t="s">
        <v>246</v>
      </c>
      <c r="K43" s="25">
        <v>200</v>
      </c>
      <c r="L43" s="25" t="s">
        <v>247</v>
      </c>
      <c r="M43" s="26" t="s">
        <v>97</v>
      </c>
      <c r="N43" s="26"/>
      <c r="O43" s="27" t="s">
        <v>98</v>
      </c>
      <c r="P43" s="27" t="s">
        <v>44</v>
      </c>
    </row>
    <row r="44" spans="1:16" ht="12.75" customHeight="1" x14ac:dyDescent="0.2">
      <c r="A44" s="16" t="str">
        <f t="shared" si="6"/>
        <v> AAB 2.158 </v>
      </c>
      <c r="B44" s="7" t="str">
        <f t="shared" si="7"/>
        <v>I</v>
      </c>
      <c r="C44" s="16">
        <f t="shared" si="8"/>
        <v>26354.275000000001</v>
      </c>
      <c r="D44" t="str">
        <f t="shared" si="9"/>
        <v>vis</v>
      </c>
      <c r="E44">
        <f>VLOOKUP(C44,Active!C$21:E$972,3,FALSE)</f>
        <v>210.996857509438</v>
      </c>
      <c r="F44" s="7" t="s">
        <v>93</v>
      </c>
      <c r="G44" t="str">
        <f t="shared" si="10"/>
        <v>26354.275</v>
      </c>
      <c r="H44" s="16">
        <f t="shared" si="11"/>
        <v>211</v>
      </c>
      <c r="I44" s="25" t="s">
        <v>248</v>
      </c>
      <c r="J44" s="26" t="s">
        <v>249</v>
      </c>
      <c r="K44" s="25">
        <v>211</v>
      </c>
      <c r="L44" s="25" t="s">
        <v>250</v>
      </c>
      <c r="M44" s="26" t="s">
        <v>97</v>
      </c>
      <c r="N44" s="26"/>
      <c r="O44" s="27" t="s">
        <v>98</v>
      </c>
      <c r="P44" s="27" t="s">
        <v>44</v>
      </c>
    </row>
    <row r="45" spans="1:16" ht="12.75" customHeight="1" x14ac:dyDescent="0.2">
      <c r="A45" s="16" t="str">
        <f t="shared" si="6"/>
        <v> AAB 2.158 </v>
      </c>
      <c r="B45" s="7" t="str">
        <f t="shared" si="7"/>
        <v>I</v>
      </c>
      <c r="C45" s="16">
        <f t="shared" si="8"/>
        <v>26427.38</v>
      </c>
      <c r="D45" t="str">
        <f t="shared" si="9"/>
        <v>vis</v>
      </c>
      <c r="E45">
        <f>VLOOKUP(C45,Active!C$21:E$972,3,FALSE)</f>
        <v>244.98084754272216</v>
      </c>
      <c r="F45" s="7" t="s">
        <v>93</v>
      </c>
      <c r="G45" t="str">
        <f t="shared" si="10"/>
        <v>26427.380</v>
      </c>
      <c r="H45" s="16">
        <f t="shared" si="11"/>
        <v>245</v>
      </c>
      <c r="I45" s="25" t="s">
        <v>251</v>
      </c>
      <c r="J45" s="26" t="s">
        <v>252</v>
      </c>
      <c r="K45" s="25">
        <v>245</v>
      </c>
      <c r="L45" s="25" t="s">
        <v>253</v>
      </c>
      <c r="M45" s="26" t="s">
        <v>97</v>
      </c>
      <c r="N45" s="26"/>
      <c r="O45" s="27" t="s">
        <v>98</v>
      </c>
      <c r="P45" s="27" t="s">
        <v>44</v>
      </c>
    </row>
    <row r="46" spans="1:16" ht="12.75" customHeight="1" x14ac:dyDescent="0.2">
      <c r="A46" s="16" t="str">
        <f t="shared" si="6"/>
        <v> AAB 2.158 </v>
      </c>
      <c r="B46" s="7" t="str">
        <f t="shared" si="7"/>
        <v>I</v>
      </c>
      <c r="C46" s="16">
        <f t="shared" si="8"/>
        <v>26440.316999999999</v>
      </c>
      <c r="D46" t="str">
        <f t="shared" si="9"/>
        <v>vis</v>
      </c>
      <c r="E46">
        <f>VLOOKUP(C46,Active!C$21:E$972,3,FALSE)</f>
        <v>250.99481210137799</v>
      </c>
      <c r="F46" s="7" t="s">
        <v>93</v>
      </c>
      <c r="G46" t="str">
        <f t="shared" si="10"/>
        <v>26440.317</v>
      </c>
      <c r="H46" s="16">
        <f t="shared" si="11"/>
        <v>251</v>
      </c>
      <c r="I46" s="25" t="s">
        <v>254</v>
      </c>
      <c r="J46" s="26" t="s">
        <v>255</v>
      </c>
      <c r="K46" s="25">
        <v>251</v>
      </c>
      <c r="L46" s="25" t="s">
        <v>256</v>
      </c>
      <c r="M46" s="26" t="s">
        <v>97</v>
      </c>
      <c r="N46" s="26"/>
      <c r="O46" s="27" t="s">
        <v>98</v>
      </c>
      <c r="P46" s="27" t="s">
        <v>44</v>
      </c>
    </row>
    <row r="47" spans="1:16" ht="12.75" customHeight="1" x14ac:dyDescent="0.2">
      <c r="A47" s="16" t="str">
        <f t="shared" si="6"/>
        <v> AAB 2.158 </v>
      </c>
      <c r="B47" s="7" t="str">
        <f t="shared" si="7"/>
        <v>I</v>
      </c>
      <c r="C47" s="16">
        <f t="shared" si="8"/>
        <v>26653.277999999998</v>
      </c>
      <c r="D47" t="str">
        <f t="shared" si="9"/>
        <v>vis</v>
      </c>
      <c r="E47">
        <f>VLOOKUP(C47,Active!C$21:E$972,3,FALSE)</f>
        <v>349.99302701798081</v>
      </c>
      <c r="F47" s="7" t="s">
        <v>93</v>
      </c>
      <c r="G47" t="str">
        <f t="shared" si="10"/>
        <v>26653.278</v>
      </c>
      <c r="H47" s="16">
        <f t="shared" si="11"/>
        <v>350</v>
      </c>
      <c r="I47" s="25" t="s">
        <v>257</v>
      </c>
      <c r="J47" s="26" t="s">
        <v>258</v>
      </c>
      <c r="K47" s="25">
        <v>350</v>
      </c>
      <c r="L47" s="25" t="s">
        <v>259</v>
      </c>
      <c r="M47" s="26" t="s">
        <v>97</v>
      </c>
      <c r="N47" s="26"/>
      <c r="O47" s="27" t="s">
        <v>98</v>
      </c>
      <c r="P47" s="27" t="s">
        <v>44</v>
      </c>
    </row>
    <row r="48" spans="1:16" ht="12.75" customHeight="1" x14ac:dyDescent="0.2">
      <c r="A48" s="16" t="str">
        <f t="shared" si="6"/>
        <v> AAB 2.158 </v>
      </c>
      <c r="B48" s="7" t="str">
        <f t="shared" si="7"/>
        <v>I</v>
      </c>
      <c r="C48" s="16">
        <f t="shared" si="8"/>
        <v>27694.45</v>
      </c>
      <c r="D48" t="str">
        <f t="shared" si="9"/>
        <v>vis</v>
      </c>
      <c r="E48">
        <f>VLOOKUP(C48,Active!C$21:E$972,3,FALSE)</f>
        <v>833.99793599732334</v>
      </c>
      <c r="F48" s="7" t="s">
        <v>93</v>
      </c>
      <c r="G48" t="str">
        <f t="shared" si="10"/>
        <v>27694.450</v>
      </c>
      <c r="H48" s="16">
        <f t="shared" si="11"/>
        <v>834</v>
      </c>
      <c r="I48" s="25" t="s">
        <v>260</v>
      </c>
      <c r="J48" s="26" t="s">
        <v>261</v>
      </c>
      <c r="K48" s="25">
        <v>834</v>
      </c>
      <c r="L48" s="25" t="s">
        <v>247</v>
      </c>
      <c r="M48" s="26" t="s">
        <v>97</v>
      </c>
      <c r="N48" s="26"/>
      <c r="O48" s="27" t="s">
        <v>98</v>
      </c>
      <c r="P48" s="27" t="s">
        <v>44</v>
      </c>
    </row>
    <row r="49" spans="1:16" ht="12.75" customHeight="1" x14ac:dyDescent="0.2">
      <c r="A49" s="16" t="str">
        <f t="shared" si="6"/>
        <v> AAB 2.158 </v>
      </c>
      <c r="B49" s="7" t="str">
        <f t="shared" si="7"/>
        <v>I</v>
      </c>
      <c r="C49" s="16">
        <f t="shared" si="8"/>
        <v>27696.591</v>
      </c>
      <c r="D49" t="str">
        <f t="shared" si="9"/>
        <v>vis</v>
      </c>
      <c r="E49">
        <f>VLOOKUP(C49,Active!C$21:E$972,3,FALSE)</f>
        <v>834.99321296416895</v>
      </c>
      <c r="F49" s="7" t="s">
        <v>93</v>
      </c>
      <c r="G49" t="str">
        <f t="shared" si="10"/>
        <v>27696.591</v>
      </c>
      <c r="H49" s="16">
        <f t="shared" si="11"/>
        <v>835</v>
      </c>
      <c r="I49" s="25" t="s">
        <v>262</v>
      </c>
      <c r="J49" s="26" t="s">
        <v>263</v>
      </c>
      <c r="K49" s="25">
        <v>835</v>
      </c>
      <c r="L49" s="25" t="s">
        <v>259</v>
      </c>
      <c r="M49" s="26" t="s">
        <v>97</v>
      </c>
      <c r="N49" s="26"/>
      <c r="O49" s="27" t="s">
        <v>98</v>
      </c>
      <c r="P49" s="27" t="s">
        <v>44</v>
      </c>
    </row>
    <row r="50" spans="1:16" ht="12.75" customHeight="1" x14ac:dyDescent="0.2">
      <c r="A50" s="16" t="str">
        <f t="shared" si="6"/>
        <v> AAB 2.158 </v>
      </c>
      <c r="B50" s="7" t="str">
        <f t="shared" si="7"/>
        <v>I</v>
      </c>
      <c r="C50" s="16">
        <f t="shared" si="8"/>
        <v>27696.593000000001</v>
      </c>
      <c r="D50" t="str">
        <f t="shared" si="9"/>
        <v>vis</v>
      </c>
      <c r="E50">
        <f>VLOOKUP(C50,Active!C$21:E$972,3,FALSE)</f>
        <v>834.99414269510498</v>
      </c>
      <c r="F50" s="7" t="s">
        <v>93</v>
      </c>
      <c r="G50" t="str">
        <f t="shared" si="10"/>
        <v>27696.593</v>
      </c>
      <c r="H50" s="16">
        <f t="shared" si="11"/>
        <v>835</v>
      </c>
      <c r="I50" s="25" t="s">
        <v>264</v>
      </c>
      <c r="J50" s="26" t="s">
        <v>265</v>
      </c>
      <c r="K50" s="25">
        <v>835</v>
      </c>
      <c r="L50" s="25" t="s">
        <v>266</v>
      </c>
      <c r="M50" s="26" t="s">
        <v>97</v>
      </c>
      <c r="N50" s="26"/>
      <c r="O50" s="27" t="s">
        <v>267</v>
      </c>
      <c r="P50" s="27" t="s">
        <v>44</v>
      </c>
    </row>
    <row r="51" spans="1:16" ht="12.75" customHeight="1" x14ac:dyDescent="0.2">
      <c r="A51" s="16" t="str">
        <f t="shared" si="6"/>
        <v> AAB 2.158 </v>
      </c>
      <c r="B51" s="7" t="str">
        <f t="shared" si="7"/>
        <v>I</v>
      </c>
      <c r="C51" s="16">
        <f t="shared" si="8"/>
        <v>27752.532999999999</v>
      </c>
      <c r="D51" t="str">
        <f t="shared" si="9"/>
        <v>vis</v>
      </c>
      <c r="E51">
        <f>VLOOKUP(C51,Active!C$21:E$972,3,FALSE)</f>
        <v>860.9987169713088</v>
      </c>
      <c r="F51" s="7" t="s">
        <v>93</v>
      </c>
      <c r="G51" t="str">
        <f t="shared" si="10"/>
        <v>27752.533</v>
      </c>
      <c r="H51" s="16">
        <f t="shared" si="11"/>
        <v>861</v>
      </c>
      <c r="I51" s="25" t="s">
        <v>268</v>
      </c>
      <c r="J51" s="26" t="s">
        <v>269</v>
      </c>
      <c r="K51" s="25">
        <v>861</v>
      </c>
      <c r="L51" s="25" t="s">
        <v>270</v>
      </c>
      <c r="M51" s="26" t="s">
        <v>97</v>
      </c>
      <c r="N51" s="26"/>
      <c r="O51" s="27" t="s">
        <v>267</v>
      </c>
      <c r="P51" s="27" t="s">
        <v>44</v>
      </c>
    </row>
    <row r="52" spans="1:16" ht="12.75" customHeight="1" x14ac:dyDescent="0.2">
      <c r="A52" s="16" t="str">
        <f t="shared" si="6"/>
        <v> AAB 2.158 </v>
      </c>
      <c r="B52" s="7" t="str">
        <f t="shared" si="7"/>
        <v>I</v>
      </c>
      <c r="C52" s="16">
        <f t="shared" si="8"/>
        <v>27862.251</v>
      </c>
      <c r="D52" t="str">
        <f t="shared" si="9"/>
        <v>vis</v>
      </c>
      <c r="E52">
        <f>VLOOKUP(C52,Active!C$21:E$972,3,FALSE)</f>
        <v>912.00282638204567</v>
      </c>
      <c r="F52" s="7" t="s">
        <v>93</v>
      </c>
      <c r="G52" t="str">
        <f t="shared" si="10"/>
        <v>27862.251</v>
      </c>
      <c r="H52" s="16">
        <f t="shared" si="11"/>
        <v>912</v>
      </c>
      <c r="I52" s="25" t="s">
        <v>271</v>
      </c>
      <c r="J52" s="26" t="s">
        <v>272</v>
      </c>
      <c r="K52" s="25">
        <v>912</v>
      </c>
      <c r="L52" s="25" t="s">
        <v>273</v>
      </c>
      <c r="M52" s="26" t="s">
        <v>97</v>
      </c>
      <c r="N52" s="26"/>
      <c r="O52" s="27" t="s">
        <v>267</v>
      </c>
      <c r="P52" s="27" t="s">
        <v>44</v>
      </c>
    </row>
    <row r="53" spans="1:16" ht="12.75" customHeight="1" x14ac:dyDescent="0.2">
      <c r="A53" s="16" t="str">
        <f t="shared" si="6"/>
        <v> AAB 2.158 </v>
      </c>
      <c r="B53" s="7" t="str">
        <f t="shared" si="7"/>
        <v>I</v>
      </c>
      <c r="C53" s="16">
        <f t="shared" si="8"/>
        <v>28094.559000000001</v>
      </c>
      <c r="D53" t="str">
        <f t="shared" si="9"/>
        <v>vis</v>
      </c>
      <c r="E53">
        <f>VLOOKUP(C53,Active!C$21:E$972,3,FALSE)</f>
        <v>1019.9947935067602</v>
      </c>
      <c r="F53" s="7" t="s">
        <v>93</v>
      </c>
      <c r="G53" t="str">
        <f t="shared" si="10"/>
        <v>28094.559</v>
      </c>
      <c r="H53" s="16">
        <f t="shared" si="11"/>
        <v>1020</v>
      </c>
      <c r="I53" s="25" t="s">
        <v>274</v>
      </c>
      <c r="J53" s="26" t="s">
        <v>275</v>
      </c>
      <c r="K53" s="25">
        <v>1020</v>
      </c>
      <c r="L53" s="25" t="s">
        <v>256</v>
      </c>
      <c r="M53" s="26" t="s">
        <v>97</v>
      </c>
      <c r="N53" s="26"/>
      <c r="O53" s="27" t="s">
        <v>267</v>
      </c>
      <c r="P53" s="27" t="s">
        <v>44</v>
      </c>
    </row>
    <row r="54" spans="1:16" ht="12.75" customHeight="1" x14ac:dyDescent="0.2">
      <c r="A54" s="16" t="str">
        <f t="shared" si="6"/>
        <v> AAB 2.158 </v>
      </c>
      <c r="B54" s="7" t="str">
        <f t="shared" si="7"/>
        <v>I</v>
      </c>
      <c r="C54" s="16">
        <f t="shared" si="8"/>
        <v>28165.544000000002</v>
      </c>
      <c r="D54" t="str">
        <f t="shared" si="9"/>
        <v>vis</v>
      </c>
      <c r="E54">
        <f>VLOOKUP(C54,Active!C$21:E$972,3,FALSE)</f>
        <v>1052.9932687480257</v>
      </c>
      <c r="F54" s="7" t="s">
        <v>93</v>
      </c>
      <c r="G54" t="str">
        <f t="shared" si="10"/>
        <v>28165.544</v>
      </c>
      <c r="H54" s="16">
        <f t="shared" si="11"/>
        <v>1053</v>
      </c>
      <c r="I54" s="25" t="s">
        <v>276</v>
      </c>
      <c r="J54" s="26" t="s">
        <v>277</v>
      </c>
      <c r="K54" s="25">
        <v>1053</v>
      </c>
      <c r="L54" s="25" t="s">
        <v>278</v>
      </c>
      <c r="M54" s="26" t="s">
        <v>97</v>
      </c>
      <c r="N54" s="26"/>
      <c r="O54" s="27" t="s">
        <v>267</v>
      </c>
      <c r="P54" s="27" t="s">
        <v>44</v>
      </c>
    </row>
    <row r="55" spans="1:16" ht="12.75" customHeight="1" x14ac:dyDescent="0.2">
      <c r="A55" s="16" t="str">
        <f t="shared" si="6"/>
        <v> AAB 2.158 </v>
      </c>
      <c r="B55" s="7" t="str">
        <f t="shared" si="7"/>
        <v>I</v>
      </c>
      <c r="C55" s="16">
        <f t="shared" si="8"/>
        <v>28548.455999999998</v>
      </c>
      <c r="D55" t="str">
        <f t="shared" si="9"/>
        <v>vis</v>
      </c>
      <c r="E55">
        <f>VLOOKUP(C55,Active!C$21:E$972,3,FALSE)</f>
        <v>1230.9958348054072</v>
      </c>
      <c r="F55" s="7" t="s">
        <v>93</v>
      </c>
      <c r="G55" t="str">
        <f t="shared" si="10"/>
        <v>28548.456</v>
      </c>
      <c r="H55" s="16">
        <f t="shared" si="11"/>
        <v>1231</v>
      </c>
      <c r="I55" s="25" t="s">
        <v>279</v>
      </c>
      <c r="J55" s="26" t="s">
        <v>280</v>
      </c>
      <c r="K55" s="25">
        <v>1231</v>
      </c>
      <c r="L55" s="25" t="s">
        <v>281</v>
      </c>
      <c r="M55" s="26" t="s">
        <v>97</v>
      </c>
      <c r="N55" s="26"/>
      <c r="O55" s="27" t="s">
        <v>98</v>
      </c>
      <c r="P55" s="27" t="s">
        <v>44</v>
      </c>
    </row>
    <row r="56" spans="1:16" ht="12.75" customHeight="1" x14ac:dyDescent="0.2">
      <c r="A56" s="16" t="str">
        <f t="shared" si="6"/>
        <v> AAB 2.158 </v>
      </c>
      <c r="B56" s="7" t="str">
        <f t="shared" si="7"/>
        <v>I</v>
      </c>
      <c r="C56" s="16">
        <f t="shared" si="8"/>
        <v>28804.454000000002</v>
      </c>
      <c r="D56" t="str">
        <f t="shared" si="9"/>
        <v>vis</v>
      </c>
      <c r="E56">
        <f>VLOOKUP(C56,Active!C$21:E$972,3,FALSE)</f>
        <v>1350.0004648654692</v>
      </c>
      <c r="F56" s="7" t="s">
        <v>93</v>
      </c>
      <c r="G56" t="str">
        <f t="shared" si="10"/>
        <v>28804.454</v>
      </c>
      <c r="H56" s="16">
        <f t="shared" si="11"/>
        <v>1350</v>
      </c>
      <c r="I56" s="25" t="s">
        <v>282</v>
      </c>
      <c r="J56" s="26" t="s">
        <v>283</v>
      </c>
      <c r="K56" s="25">
        <v>1350</v>
      </c>
      <c r="L56" s="25" t="s">
        <v>284</v>
      </c>
      <c r="M56" s="26" t="s">
        <v>97</v>
      </c>
      <c r="N56" s="26"/>
      <c r="O56" s="27" t="s">
        <v>98</v>
      </c>
      <c r="P56" s="27" t="s">
        <v>44</v>
      </c>
    </row>
    <row r="57" spans="1:16" ht="12.75" customHeight="1" x14ac:dyDescent="0.2">
      <c r="A57" s="16" t="str">
        <f t="shared" si="6"/>
        <v> AAB 2.158 </v>
      </c>
      <c r="B57" s="7" t="str">
        <f t="shared" si="7"/>
        <v>I</v>
      </c>
      <c r="C57" s="16">
        <f t="shared" si="8"/>
        <v>28832.428</v>
      </c>
      <c r="D57" t="str">
        <f t="shared" si="9"/>
        <v>vis</v>
      </c>
      <c r="E57">
        <f>VLOOKUP(C57,Active!C$21:E$972,3,FALSE)</f>
        <v>1363.0046114654424</v>
      </c>
      <c r="F57" s="7" t="s">
        <v>93</v>
      </c>
      <c r="G57" t="str">
        <f t="shared" si="10"/>
        <v>28832.428</v>
      </c>
      <c r="H57" s="16">
        <f t="shared" si="11"/>
        <v>1363</v>
      </c>
      <c r="I57" s="25" t="s">
        <v>285</v>
      </c>
      <c r="J57" s="26" t="s">
        <v>286</v>
      </c>
      <c r="K57" s="25">
        <v>1363</v>
      </c>
      <c r="L57" s="25" t="s">
        <v>287</v>
      </c>
      <c r="M57" s="26" t="s">
        <v>97</v>
      </c>
      <c r="N57" s="26"/>
      <c r="O57" s="27" t="s">
        <v>98</v>
      </c>
      <c r="P57" s="27" t="s">
        <v>44</v>
      </c>
    </row>
    <row r="58" spans="1:16" ht="12.75" customHeight="1" x14ac:dyDescent="0.2">
      <c r="A58" s="16" t="str">
        <f t="shared" si="6"/>
        <v> AAB 2.158 </v>
      </c>
      <c r="B58" s="7" t="str">
        <f t="shared" si="7"/>
        <v>I</v>
      </c>
      <c r="C58" s="16">
        <f t="shared" si="8"/>
        <v>28834.557000000001</v>
      </c>
      <c r="D58" t="str">
        <f t="shared" si="9"/>
        <v>vis</v>
      </c>
      <c r="E58">
        <f>VLOOKUP(C58,Active!C$21:E$972,3,FALSE)</f>
        <v>1363.9943100466735</v>
      </c>
      <c r="F58" s="7" t="s">
        <v>93</v>
      </c>
      <c r="G58" t="str">
        <f t="shared" si="10"/>
        <v>28834.557</v>
      </c>
      <c r="H58" s="16">
        <f t="shared" si="11"/>
        <v>1364</v>
      </c>
      <c r="I58" s="25" t="s">
        <v>288</v>
      </c>
      <c r="J58" s="26" t="s">
        <v>289</v>
      </c>
      <c r="K58" s="25">
        <v>1364</v>
      </c>
      <c r="L58" s="25" t="s">
        <v>290</v>
      </c>
      <c r="M58" s="26" t="s">
        <v>97</v>
      </c>
      <c r="N58" s="26"/>
      <c r="O58" s="27" t="s">
        <v>267</v>
      </c>
      <c r="P58" s="27" t="s">
        <v>44</v>
      </c>
    </row>
    <row r="59" spans="1:16" ht="12.75" customHeight="1" x14ac:dyDescent="0.2">
      <c r="A59" s="16" t="str">
        <f t="shared" si="6"/>
        <v> AAB 2.158 </v>
      </c>
      <c r="B59" s="7" t="str">
        <f t="shared" si="7"/>
        <v>I</v>
      </c>
      <c r="C59" s="16">
        <f t="shared" si="8"/>
        <v>28834.574000000001</v>
      </c>
      <c r="D59" t="str">
        <f t="shared" si="9"/>
        <v>vis</v>
      </c>
      <c r="E59">
        <f>VLOOKUP(C59,Active!C$21:E$972,3,FALSE)</f>
        <v>1364.0022127596283</v>
      </c>
      <c r="F59" s="7" t="s">
        <v>93</v>
      </c>
      <c r="G59" t="str">
        <f t="shared" si="10"/>
        <v>28834.574</v>
      </c>
      <c r="H59" s="16">
        <f t="shared" si="11"/>
        <v>1364</v>
      </c>
      <c r="I59" s="25" t="s">
        <v>291</v>
      </c>
      <c r="J59" s="26" t="s">
        <v>292</v>
      </c>
      <c r="K59" s="25">
        <v>1364</v>
      </c>
      <c r="L59" s="25" t="s">
        <v>293</v>
      </c>
      <c r="M59" s="26" t="s">
        <v>97</v>
      </c>
      <c r="N59" s="26"/>
      <c r="O59" s="27" t="s">
        <v>98</v>
      </c>
      <c r="P59" s="27" t="s">
        <v>44</v>
      </c>
    </row>
    <row r="60" spans="1:16" ht="12.75" customHeight="1" x14ac:dyDescent="0.2">
      <c r="A60" s="16" t="str">
        <f t="shared" si="6"/>
        <v> AAB 2.158 </v>
      </c>
      <c r="B60" s="7" t="str">
        <f t="shared" si="7"/>
        <v>I</v>
      </c>
      <c r="C60" s="16">
        <f t="shared" si="8"/>
        <v>30779.256000000001</v>
      </c>
      <c r="D60" t="str">
        <f t="shared" si="9"/>
        <v>vis</v>
      </c>
      <c r="E60">
        <f>VLOOKUP(C60,Active!C$21:E$972,3,FALSE)</f>
        <v>2268.0177206716389</v>
      </c>
      <c r="F60" s="7" t="s">
        <v>93</v>
      </c>
      <c r="G60" t="str">
        <f t="shared" si="10"/>
        <v>30779.256</v>
      </c>
      <c r="H60" s="16">
        <f t="shared" si="11"/>
        <v>2268</v>
      </c>
      <c r="I60" s="25" t="s">
        <v>294</v>
      </c>
      <c r="J60" s="26" t="s">
        <v>295</v>
      </c>
      <c r="K60" s="25">
        <v>2268</v>
      </c>
      <c r="L60" s="25" t="s">
        <v>296</v>
      </c>
      <c r="M60" s="26" t="s">
        <v>97</v>
      </c>
      <c r="N60" s="26"/>
      <c r="O60" s="27" t="s">
        <v>98</v>
      </c>
      <c r="P60" s="27" t="s">
        <v>44</v>
      </c>
    </row>
    <row r="61" spans="1:16" ht="12.75" customHeight="1" x14ac:dyDescent="0.2">
      <c r="A61" s="16" t="str">
        <f t="shared" si="6"/>
        <v> AJ 53.13 </v>
      </c>
      <c r="B61" s="7" t="str">
        <f t="shared" si="7"/>
        <v>I</v>
      </c>
      <c r="C61" s="16">
        <f t="shared" si="8"/>
        <v>30783.530999999999</v>
      </c>
      <c r="D61" t="str">
        <f t="shared" si="9"/>
        <v>vis</v>
      </c>
      <c r="E61">
        <f>VLOOKUP(C61,Active!C$21:E$972,3,FALSE)</f>
        <v>2270.0050205470538</v>
      </c>
      <c r="F61" s="7" t="s">
        <v>93</v>
      </c>
      <c r="G61" t="str">
        <f t="shared" si="10"/>
        <v>30783.531</v>
      </c>
      <c r="H61" s="16">
        <f t="shared" si="11"/>
        <v>2270</v>
      </c>
      <c r="I61" s="25" t="s">
        <v>297</v>
      </c>
      <c r="J61" s="26" t="s">
        <v>298</v>
      </c>
      <c r="K61" s="25">
        <v>2270</v>
      </c>
      <c r="L61" s="25" t="s">
        <v>299</v>
      </c>
      <c r="M61" s="26" t="s">
        <v>137</v>
      </c>
      <c r="N61" s="26"/>
      <c r="O61" s="27" t="s">
        <v>300</v>
      </c>
      <c r="P61" s="27" t="s">
        <v>47</v>
      </c>
    </row>
    <row r="62" spans="1:16" ht="12.75" customHeight="1" x14ac:dyDescent="0.2">
      <c r="A62" s="16" t="str">
        <f t="shared" si="6"/>
        <v> AAB 2.158 </v>
      </c>
      <c r="B62" s="7" t="str">
        <f t="shared" si="7"/>
        <v>I</v>
      </c>
      <c r="C62" s="16">
        <f t="shared" si="8"/>
        <v>30792.136999999999</v>
      </c>
      <c r="D62" t="str">
        <f t="shared" si="9"/>
        <v>vis</v>
      </c>
      <c r="E62">
        <f>VLOOKUP(C62,Active!C$21:E$972,3,FALSE)</f>
        <v>2274.00565276409</v>
      </c>
      <c r="F62" s="7" t="s">
        <v>93</v>
      </c>
      <c r="G62" t="str">
        <f t="shared" si="10"/>
        <v>30792.137</v>
      </c>
      <c r="H62" s="16">
        <f t="shared" si="11"/>
        <v>2274</v>
      </c>
      <c r="I62" s="25" t="s">
        <v>301</v>
      </c>
      <c r="J62" s="26" t="s">
        <v>302</v>
      </c>
      <c r="K62" s="25">
        <v>2274</v>
      </c>
      <c r="L62" s="25" t="s">
        <v>303</v>
      </c>
      <c r="M62" s="26" t="s">
        <v>97</v>
      </c>
      <c r="N62" s="26"/>
      <c r="O62" s="27" t="s">
        <v>98</v>
      </c>
      <c r="P62" s="27" t="s">
        <v>44</v>
      </c>
    </row>
    <row r="63" spans="1:16" ht="12.75" customHeight="1" x14ac:dyDescent="0.2">
      <c r="A63" s="16" t="str">
        <f t="shared" si="6"/>
        <v> AAB 2.158 </v>
      </c>
      <c r="B63" s="7" t="str">
        <f t="shared" si="7"/>
        <v>I</v>
      </c>
      <c r="C63" s="16">
        <f t="shared" si="8"/>
        <v>30796.452000000001</v>
      </c>
      <c r="D63" t="str">
        <f t="shared" si="9"/>
        <v>vis</v>
      </c>
      <c r="E63">
        <f>VLOOKUP(C63,Active!C$21:E$972,3,FALSE)</f>
        <v>2276.0115472582247</v>
      </c>
      <c r="F63" s="7" t="s">
        <v>93</v>
      </c>
      <c r="G63" t="str">
        <f t="shared" si="10"/>
        <v>30796.452</v>
      </c>
      <c r="H63" s="16">
        <f t="shared" si="11"/>
        <v>2276</v>
      </c>
      <c r="I63" s="25" t="s">
        <v>304</v>
      </c>
      <c r="J63" s="26" t="s">
        <v>305</v>
      </c>
      <c r="K63" s="25">
        <v>2276</v>
      </c>
      <c r="L63" s="25" t="s">
        <v>306</v>
      </c>
      <c r="M63" s="26" t="s">
        <v>97</v>
      </c>
      <c r="N63" s="26"/>
      <c r="O63" s="27" t="s">
        <v>98</v>
      </c>
      <c r="P63" s="27" t="s">
        <v>44</v>
      </c>
    </row>
    <row r="64" spans="1:16" ht="12.75" customHeight="1" x14ac:dyDescent="0.2">
      <c r="A64" s="16" t="str">
        <f t="shared" si="6"/>
        <v> AJ 53.13 </v>
      </c>
      <c r="B64" s="7" t="str">
        <f t="shared" si="7"/>
        <v>I</v>
      </c>
      <c r="C64" s="16">
        <f t="shared" si="8"/>
        <v>31441.78</v>
      </c>
      <c r="D64" t="str">
        <f t="shared" si="9"/>
        <v>vis</v>
      </c>
      <c r="E64">
        <f>VLOOKUP(C64,Active!C$21:E$972,3,FALSE)</f>
        <v>2576.002249948865</v>
      </c>
      <c r="F64" s="7" t="s">
        <v>93</v>
      </c>
      <c r="G64" t="str">
        <f t="shared" si="10"/>
        <v>31441.780</v>
      </c>
      <c r="H64" s="16">
        <f t="shared" si="11"/>
        <v>2576</v>
      </c>
      <c r="I64" s="25" t="s">
        <v>307</v>
      </c>
      <c r="J64" s="26" t="s">
        <v>308</v>
      </c>
      <c r="K64" s="25">
        <v>2576</v>
      </c>
      <c r="L64" s="25" t="s">
        <v>293</v>
      </c>
      <c r="M64" s="26" t="s">
        <v>137</v>
      </c>
      <c r="N64" s="26"/>
      <c r="O64" s="27" t="s">
        <v>300</v>
      </c>
      <c r="P64" s="27" t="s">
        <v>47</v>
      </c>
    </row>
    <row r="65" spans="1:16" ht="12.75" customHeight="1" x14ac:dyDescent="0.2">
      <c r="A65" s="16" t="str">
        <f t="shared" si="6"/>
        <v> AJ 53.13 </v>
      </c>
      <c r="B65" s="7" t="str">
        <f t="shared" si="7"/>
        <v>I</v>
      </c>
      <c r="C65" s="16">
        <f t="shared" si="8"/>
        <v>31714.978999999999</v>
      </c>
      <c r="D65" t="str">
        <f t="shared" si="9"/>
        <v>vis</v>
      </c>
      <c r="E65">
        <f>VLOOKUP(C65,Active!C$21:E$972,3,FALSE)</f>
        <v>2703.0030309228514</v>
      </c>
      <c r="F65" s="7" t="s">
        <v>93</v>
      </c>
      <c r="G65" t="str">
        <f t="shared" si="10"/>
        <v>31714.979</v>
      </c>
      <c r="H65" s="16">
        <f t="shared" si="11"/>
        <v>2703</v>
      </c>
      <c r="I65" s="25" t="s">
        <v>309</v>
      </c>
      <c r="J65" s="26" t="s">
        <v>310</v>
      </c>
      <c r="K65" s="25">
        <v>2703</v>
      </c>
      <c r="L65" s="25" t="s">
        <v>311</v>
      </c>
      <c r="M65" s="26" t="s">
        <v>137</v>
      </c>
      <c r="N65" s="26"/>
      <c r="O65" s="27" t="s">
        <v>300</v>
      </c>
      <c r="P65" s="27" t="s">
        <v>47</v>
      </c>
    </row>
    <row r="66" spans="1:16" ht="12.75" customHeight="1" x14ac:dyDescent="0.2">
      <c r="A66" s="16" t="str">
        <f t="shared" si="6"/>
        <v> AAB 2.158 </v>
      </c>
      <c r="B66" s="7" t="str">
        <f t="shared" si="7"/>
        <v>I</v>
      </c>
      <c r="C66" s="16">
        <f t="shared" si="8"/>
        <v>31904.291000000001</v>
      </c>
      <c r="D66" t="str">
        <f t="shared" si="9"/>
        <v>vis</v>
      </c>
      <c r="E66">
        <f>VLOOKUP(C66,Active!C$21:E$972,3,FALSE)</f>
        <v>2791.0076423882938</v>
      </c>
      <c r="F66" s="7" t="s">
        <v>93</v>
      </c>
      <c r="G66" t="str">
        <f t="shared" si="10"/>
        <v>31904.291</v>
      </c>
      <c r="H66" s="16">
        <f t="shared" si="11"/>
        <v>2791</v>
      </c>
      <c r="I66" s="25" t="s">
        <v>312</v>
      </c>
      <c r="J66" s="26" t="s">
        <v>313</v>
      </c>
      <c r="K66" s="25">
        <v>2791</v>
      </c>
      <c r="L66" s="25" t="s">
        <v>314</v>
      </c>
      <c r="M66" s="26" t="s">
        <v>97</v>
      </c>
      <c r="N66" s="26"/>
      <c r="O66" s="27" t="s">
        <v>98</v>
      </c>
      <c r="P66" s="27" t="s">
        <v>44</v>
      </c>
    </row>
    <row r="67" spans="1:16" ht="12.75" customHeight="1" x14ac:dyDescent="0.2">
      <c r="A67" s="16" t="str">
        <f t="shared" si="6"/>
        <v> AJ 53.13 </v>
      </c>
      <c r="B67" s="7" t="str">
        <f t="shared" si="7"/>
        <v>I</v>
      </c>
      <c r="C67" s="16">
        <f t="shared" si="8"/>
        <v>32069.920999999998</v>
      </c>
      <c r="D67" t="str">
        <f t="shared" si="9"/>
        <v>vis</v>
      </c>
      <c r="E67">
        <f>VLOOKUP(C67,Active!C$21:E$972,3,FALSE)</f>
        <v>2868.0033098421318</v>
      </c>
      <c r="F67" s="7" t="s">
        <v>93</v>
      </c>
      <c r="G67" t="str">
        <f t="shared" si="10"/>
        <v>32069.921</v>
      </c>
      <c r="H67" s="16">
        <f t="shared" si="11"/>
        <v>2868</v>
      </c>
      <c r="I67" s="25" t="s">
        <v>315</v>
      </c>
      <c r="J67" s="26" t="s">
        <v>316</v>
      </c>
      <c r="K67" s="25">
        <v>2868</v>
      </c>
      <c r="L67" s="25" t="s">
        <v>311</v>
      </c>
      <c r="M67" s="26" t="s">
        <v>137</v>
      </c>
      <c r="N67" s="26"/>
      <c r="O67" s="27" t="s">
        <v>300</v>
      </c>
      <c r="P67" s="27" t="s">
        <v>47</v>
      </c>
    </row>
    <row r="68" spans="1:16" ht="12.75" customHeight="1" x14ac:dyDescent="0.2">
      <c r="A68" s="16" t="str">
        <f t="shared" si="6"/>
        <v> AAB 2.158 </v>
      </c>
      <c r="B68" s="7" t="str">
        <f t="shared" si="7"/>
        <v>I</v>
      </c>
      <c r="C68" s="16">
        <f t="shared" si="8"/>
        <v>32203.296999999999</v>
      </c>
      <c r="D68" t="str">
        <f t="shared" si="9"/>
        <v>vis</v>
      </c>
      <c r="E68">
        <f>VLOOKUP(C68,Active!C$21:E$972,3,FALSE)</f>
        <v>2930.0052064932406</v>
      </c>
      <c r="F68" s="7" t="s">
        <v>93</v>
      </c>
      <c r="G68" t="str">
        <f t="shared" si="10"/>
        <v>32203.297</v>
      </c>
      <c r="H68" s="16">
        <f t="shared" si="11"/>
        <v>2930</v>
      </c>
      <c r="I68" s="25" t="s">
        <v>317</v>
      </c>
      <c r="J68" s="26" t="s">
        <v>318</v>
      </c>
      <c r="K68" s="25">
        <v>2930</v>
      </c>
      <c r="L68" s="25" t="s">
        <v>299</v>
      </c>
      <c r="M68" s="26" t="s">
        <v>97</v>
      </c>
      <c r="N68" s="26"/>
      <c r="O68" s="27" t="s">
        <v>98</v>
      </c>
      <c r="P68" s="27" t="s">
        <v>44</v>
      </c>
    </row>
    <row r="69" spans="1:16" ht="12.75" customHeight="1" x14ac:dyDescent="0.2">
      <c r="A69" s="16" t="str">
        <f t="shared" si="6"/>
        <v> AAB 2.158 </v>
      </c>
      <c r="B69" s="7" t="str">
        <f t="shared" si="7"/>
        <v>I</v>
      </c>
      <c r="C69" s="16">
        <f t="shared" si="8"/>
        <v>32216.2</v>
      </c>
      <c r="D69" t="str">
        <f t="shared" si="9"/>
        <v>vis</v>
      </c>
      <c r="E69">
        <f>VLOOKUP(C69,Active!C$21:E$972,3,FALSE)</f>
        <v>2936.0033656259889</v>
      </c>
      <c r="F69" s="7" t="s">
        <v>93</v>
      </c>
      <c r="G69" t="str">
        <f t="shared" si="10"/>
        <v>32216.200</v>
      </c>
      <c r="H69" s="16">
        <f t="shared" si="11"/>
        <v>2936</v>
      </c>
      <c r="I69" s="25" t="s">
        <v>319</v>
      </c>
      <c r="J69" s="26" t="s">
        <v>320</v>
      </c>
      <c r="K69" s="25">
        <v>2936</v>
      </c>
      <c r="L69" s="25" t="s">
        <v>311</v>
      </c>
      <c r="M69" s="26" t="s">
        <v>97</v>
      </c>
      <c r="N69" s="26"/>
      <c r="O69" s="27" t="s">
        <v>98</v>
      </c>
      <c r="P69" s="27" t="s">
        <v>44</v>
      </c>
    </row>
    <row r="70" spans="1:16" ht="12.75" customHeight="1" x14ac:dyDescent="0.2">
      <c r="A70" s="16" t="str">
        <f t="shared" si="6"/>
        <v> AAB 2.158 </v>
      </c>
      <c r="B70" s="7" t="str">
        <f t="shared" si="7"/>
        <v>I</v>
      </c>
      <c r="C70" s="16">
        <f t="shared" si="8"/>
        <v>32218.347000000002</v>
      </c>
      <c r="D70" t="str">
        <f t="shared" si="9"/>
        <v>vis</v>
      </c>
      <c r="E70">
        <f>VLOOKUP(C70,Active!C$21:E$972,3,FALSE)</f>
        <v>2937.0014317856426</v>
      </c>
      <c r="F70" s="7" t="s">
        <v>93</v>
      </c>
      <c r="G70" t="str">
        <f t="shared" si="10"/>
        <v>32218.347</v>
      </c>
      <c r="H70" s="16">
        <f t="shared" si="11"/>
        <v>2937</v>
      </c>
      <c r="I70" s="25" t="s">
        <v>321</v>
      </c>
      <c r="J70" s="26" t="s">
        <v>322</v>
      </c>
      <c r="K70" s="25">
        <v>2937</v>
      </c>
      <c r="L70" s="25" t="s">
        <v>323</v>
      </c>
      <c r="M70" s="26" t="s">
        <v>97</v>
      </c>
      <c r="N70" s="26"/>
      <c r="O70" s="27" t="s">
        <v>98</v>
      </c>
      <c r="P70" s="27" t="s">
        <v>44</v>
      </c>
    </row>
    <row r="71" spans="1:16" ht="12.75" customHeight="1" x14ac:dyDescent="0.2">
      <c r="A71" s="16" t="str">
        <f t="shared" si="6"/>
        <v> AC 63.12 </v>
      </c>
      <c r="B71" s="7" t="str">
        <f t="shared" si="7"/>
        <v>I</v>
      </c>
      <c r="C71" s="16">
        <f t="shared" si="8"/>
        <v>32246.319</v>
      </c>
      <c r="D71" t="str">
        <f t="shared" si="9"/>
        <v>vis</v>
      </c>
      <c r="E71">
        <f>VLOOKUP(C71,Active!C$21:E$972,3,FALSE)</f>
        <v>2950.0046486546798</v>
      </c>
      <c r="F71" s="7" t="s">
        <v>93</v>
      </c>
      <c r="G71" t="str">
        <f t="shared" si="10"/>
        <v>32246.319</v>
      </c>
      <c r="H71" s="16">
        <f t="shared" si="11"/>
        <v>2950</v>
      </c>
      <c r="I71" s="25" t="s">
        <v>324</v>
      </c>
      <c r="J71" s="26" t="s">
        <v>325</v>
      </c>
      <c r="K71" s="25">
        <v>2950</v>
      </c>
      <c r="L71" s="25" t="s">
        <v>287</v>
      </c>
      <c r="M71" s="26" t="s">
        <v>97</v>
      </c>
      <c r="N71" s="26"/>
      <c r="O71" s="27" t="s">
        <v>326</v>
      </c>
      <c r="P71" s="27" t="s">
        <v>48</v>
      </c>
    </row>
    <row r="72" spans="1:16" ht="12.75" customHeight="1" x14ac:dyDescent="0.2">
      <c r="A72" s="16" t="str">
        <f t="shared" si="6"/>
        <v> AAB 2.158 </v>
      </c>
      <c r="B72" s="7" t="str">
        <f t="shared" si="7"/>
        <v>I</v>
      </c>
      <c r="C72" s="16">
        <f t="shared" si="8"/>
        <v>32259.226999999999</v>
      </c>
      <c r="D72" t="str">
        <f t="shared" si="9"/>
        <v>vis</v>
      </c>
      <c r="E72">
        <f>VLOOKUP(C72,Active!C$21:E$972,3,FALSE)</f>
        <v>2956.0051321147662</v>
      </c>
      <c r="F72" s="7" t="s">
        <v>93</v>
      </c>
      <c r="G72" t="str">
        <f t="shared" si="10"/>
        <v>32259.227</v>
      </c>
      <c r="H72" s="16">
        <f t="shared" si="11"/>
        <v>2956</v>
      </c>
      <c r="I72" s="25" t="s">
        <v>327</v>
      </c>
      <c r="J72" s="26" t="s">
        <v>328</v>
      </c>
      <c r="K72" s="25">
        <v>2956</v>
      </c>
      <c r="L72" s="25" t="s">
        <v>299</v>
      </c>
      <c r="M72" s="26" t="s">
        <v>97</v>
      </c>
      <c r="N72" s="26"/>
      <c r="O72" s="27" t="s">
        <v>98</v>
      </c>
      <c r="P72" s="27" t="s">
        <v>44</v>
      </c>
    </row>
    <row r="73" spans="1:16" ht="12.75" customHeight="1" x14ac:dyDescent="0.2">
      <c r="A73" s="16" t="str">
        <f t="shared" si="6"/>
        <v> AAB 2.158 </v>
      </c>
      <c r="B73" s="7" t="str">
        <f t="shared" si="7"/>
        <v>I</v>
      </c>
      <c r="C73" s="16">
        <f t="shared" si="8"/>
        <v>32261.362000000001</v>
      </c>
      <c r="D73" t="str">
        <f t="shared" si="9"/>
        <v>vis</v>
      </c>
      <c r="E73">
        <f>VLOOKUP(C73,Active!C$21:E$972,3,FALSE)</f>
        <v>2956.9976198888053</v>
      </c>
      <c r="F73" s="7" t="s">
        <v>93</v>
      </c>
      <c r="G73" t="str">
        <f t="shared" si="10"/>
        <v>32261.362</v>
      </c>
      <c r="H73" s="16">
        <f t="shared" si="11"/>
        <v>2957</v>
      </c>
      <c r="I73" s="25" t="s">
        <v>329</v>
      </c>
      <c r="J73" s="26" t="s">
        <v>330</v>
      </c>
      <c r="K73" s="25">
        <v>2957</v>
      </c>
      <c r="L73" s="25" t="s">
        <v>331</v>
      </c>
      <c r="M73" s="26" t="s">
        <v>97</v>
      </c>
      <c r="N73" s="26"/>
      <c r="O73" s="27" t="s">
        <v>98</v>
      </c>
      <c r="P73" s="27" t="s">
        <v>44</v>
      </c>
    </row>
    <row r="74" spans="1:16" ht="12.75" customHeight="1" x14ac:dyDescent="0.2">
      <c r="A74" s="16" t="str">
        <f t="shared" si="6"/>
        <v> AAB 2.158 </v>
      </c>
      <c r="B74" s="7" t="str">
        <f t="shared" si="7"/>
        <v>I</v>
      </c>
      <c r="C74" s="16">
        <f t="shared" si="8"/>
        <v>32562.554</v>
      </c>
      <c r="D74" t="str">
        <f t="shared" si="9"/>
        <v>vis</v>
      </c>
      <c r="E74">
        <f>VLOOKUP(C74,Active!C$21:E$972,3,FALSE)</f>
        <v>3097.0113799066557</v>
      </c>
      <c r="F74" s="7" t="s">
        <v>93</v>
      </c>
      <c r="G74" t="str">
        <f t="shared" si="10"/>
        <v>32562.554</v>
      </c>
      <c r="H74" s="16">
        <f t="shared" si="11"/>
        <v>3097</v>
      </c>
      <c r="I74" s="25" t="s">
        <v>332</v>
      </c>
      <c r="J74" s="26" t="s">
        <v>333</v>
      </c>
      <c r="K74" s="25">
        <v>3097</v>
      </c>
      <c r="L74" s="25" t="s">
        <v>334</v>
      </c>
      <c r="M74" s="26" t="s">
        <v>97</v>
      </c>
      <c r="N74" s="26"/>
      <c r="O74" s="27" t="s">
        <v>335</v>
      </c>
      <c r="P74" s="27" t="s">
        <v>44</v>
      </c>
    </row>
    <row r="75" spans="1:16" ht="12.75" customHeight="1" x14ac:dyDescent="0.2">
      <c r="A75" s="16" t="str">
        <f t="shared" ref="A75:A102" si="12">P75</f>
        <v> AAB 2.158 </v>
      </c>
      <c r="B75" s="7" t="str">
        <f t="shared" ref="B75:B102" si="13">IF(H75=INT(H75),"I","II")</f>
        <v>I</v>
      </c>
      <c r="C75" s="16">
        <f t="shared" ref="C75:C102" si="14">1*G75</f>
        <v>32889.51</v>
      </c>
      <c r="D75" t="str">
        <f t="shared" ref="D75:D102" si="15">VLOOKUP(F75,I$1:J$5,2,FALSE)</f>
        <v>vis</v>
      </c>
      <c r="E75">
        <f>VLOOKUP(C75,Active!C$21:E$972,3,FALSE)</f>
        <v>3249.0019338403481</v>
      </c>
      <c r="F75" s="7" t="s">
        <v>93</v>
      </c>
      <c r="G75" t="str">
        <f t="shared" ref="G75:G102" si="16">MID(I75,3,LEN(I75)-3)</f>
        <v>32889.510</v>
      </c>
      <c r="H75" s="16">
        <f t="shared" ref="H75:H102" si="17">1*K75</f>
        <v>3249</v>
      </c>
      <c r="I75" s="25" t="s">
        <v>336</v>
      </c>
      <c r="J75" s="26" t="s">
        <v>337</v>
      </c>
      <c r="K75" s="25">
        <v>3249</v>
      </c>
      <c r="L75" s="25" t="s">
        <v>244</v>
      </c>
      <c r="M75" s="26" t="s">
        <v>97</v>
      </c>
      <c r="N75" s="26"/>
      <c r="O75" s="27" t="s">
        <v>335</v>
      </c>
      <c r="P75" s="27" t="s">
        <v>44</v>
      </c>
    </row>
    <row r="76" spans="1:16" ht="12.75" customHeight="1" x14ac:dyDescent="0.2">
      <c r="A76" s="16" t="str">
        <f t="shared" si="12"/>
        <v> AAB 2.158 </v>
      </c>
      <c r="B76" s="7" t="str">
        <f t="shared" si="13"/>
        <v>I</v>
      </c>
      <c r="C76" s="16">
        <f t="shared" si="14"/>
        <v>32945.440000000002</v>
      </c>
      <c r="D76" t="str">
        <f t="shared" si="15"/>
        <v>vis</v>
      </c>
      <c r="E76">
        <f>VLOOKUP(C76,Active!C$21:E$972,3,FALSE)</f>
        <v>3275.0018594618732</v>
      </c>
      <c r="F76" s="7" t="s">
        <v>93</v>
      </c>
      <c r="G76" t="str">
        <f t="shared" si="16"/>
        <v>32945.440</v>
      </c>
      <c r="H76" s="16">
        <f t="shared" si="17"/>
        <v>3275</v>
      </c>
      <c r="I76" s="25" t="s">
        <v>338</v>
      </c>
      <c r="J76" s="26" t="s">
        <v>339</v>
      </c>
      <c r="K76" s="25">
        <v>3275</v>
      </c>
      <c r="L76" s="25" t="s">
        <v>244</v>
      </c>
      <c r="M76" s="26" t="s">
        <v>97</v>
      </c>
      <c r="N76" s="26"/>
      <c r="O76" s="27" t="s">
        <v>335</v>
      </c>
      <c r="P76" s="27" t="s">
        <v>44</v>
      </c>
    </row>
    <row r="77" spans="1:16" ht="12.75" customHeight="1" x14ac:dyDescent="0.2">
      <c r="A77" s="16" t="str">
        <f t="shared" si="12"/>
        <v> AAB 2.158 </v>
      </c>
      <c r="B77" s="7" t="str">
        <f t="shared" si="13"/>
        <v>I</v>
      </c>
      <c r="C77" s="16">
        <f t="shared" si="14"/>
        <v>33001.362999999998</v>
      </c>
      <c r="D77" t="str">
        <f t="shared" si="15"/>
        <v>vis</v>
      </c>
      <c r="E77">
        <f>VLOOKUP(C77,Active!C$21:E$972,3,FALSE)</f>
        <v>3300.9985310251209</v>
      </c>
      <c r="F77" s="7" t="s">
        <v>93</v>
      </c>
      <c r="G77" t="str">
        <f t="shared" si="16"/>
        <v>33001.363</v>
      </c>
      <c r="H77" s="16">
        <f t="shared" si="17"/>
        <v>3301</v>
      </c>
      <c r="I77" s="25" t="s">
        <v>340</v>
      </c>
      <c r="J77" s="26" t="s">
        <v>341</v>
      </c>
      <c r="K77" s="25">
        <v>3301</v>
      </c>
      <c r="L77" s="25" t="s">
        <v>270</v>
      </c>
      <c r="M77" s="26" t="s">
        <v>97</v>
      </c>
      <c r="N77" s="26"/>
      <c r="O77" s="27" t="s">
        <v>335</v>
      </c>
      <c r="P77" s="27" t="s">
        <v>44</v>
      </c>
    </row>
    <row r="78" spans="1:16" ht="12.75" customHeight="1" x14ac:dyDescent="0.2">
      <c r="A78" s="16" t="str">
        <f t="shared" si="12"/>
        <v> AAB 2.158 </v>
      </c>
      <c r="B78" s="7" t="str">
        <f t="shared" si="13"/>
        <v>I</v>
      </c>
      <c r="C78" s="16">
        <f t="shared" si="14"/>
        <v>33190.663999999997</v>
      </c>
      <c r="D78" t="str">
        <f t="shared" si="15"/>
        <v>vis</v>
      </c>
      <c r="E78">
        <f>VLOOKUP(C78,Active!C$21:E$972,3,FALSE)</f>
        <v>3388.9980289704154</v>
      </c>
      <c r="F78" s="7" t="s">
        <v>93</v>
      </c>
      <c r="G78" t="str">
        <f t="shared" si="16"/>
        <v>33190.664</v>
      </c>
      <c r="H78" s="16">
        <f t="shared" si="17"/>
        <v>3389</v>
      </c>
      <c r="I78" s="25" t="s">
        <v>342</v>
      </c>
      <c r="J78" s="26" t="s">
        <v>343</v>
      </c>
      <c r="K78" s="25">
        <v>3389</v>
      </c>
      <c r="L78" s="25" t="s">
        <v>247</v>
      </c>
      <c r="M78" s="26" t="s">
        <v>97</v>
      </c>
      <c r="N78" s="26"/>
      <c r="O78" s="27" t="s">
        <v>335</v>
      </c>
      <c r="P78" s="27" t="s">
        <v>44</v>
      </c>
    </row>
    <row r="79" spans="1:16" ht="12.75" customHeight="1" x14ac:dyDescent="0.2">
      <c r="A79" s="16" t="str">
        <f t="shared" si="12"/>
        <v> AAB 2.158 </v>
      </c>
      <c r="B79" s="7" t="str">
        <f t="shared" si="13"/>
        <v>I</v>
      </c>
      <c r="C79" s="16">
        <f t="shared" si="14"/>
        <v>33328.347999999998</v>
      </c>
      <c r="D79" t="str">
        <f t="shared" si="15"/>
        <v>vis</v>
      </c>
      <c r="E79">
        <f>VLOOKUP(C79,Active!C$21:E$972,3,FALSE)</f>
        <v>3453.0025660573829</v>
      </c>
      <c r="F79" s="7" t="s">
        <v>93</v>
      </c>
      <c r="G79" t="str">
        <f t="shared" si="16"/>
        <v>33328.348</v>
      </c>
      <c r="H79" s="16">
        <f t="shared" si="17"/>
        <v>3453</v>
      </c>
      <c r="I79" s="25" t="s">
        <v>344</v>
      </c>
      <c r="J79" s="26" t="s">
        <v>345</v>
      </c>
      <c r="K79" s="25">
        <v>3453</v>
      </c>
      <c r="L79" s="25" t="s">
        <v>273</v>
      </c>
      <c r="M79" s="26" t="s">
        <v>97</v>
      </c>
      <c r="N79" s="26"/>
      <c r="O79" s="27" t="s">
        <v>335</v>
      </c>
      <c r="P79" s="27" t="s">
        <v>44</v>
      </c>
    </row>
    <row r="80" spans="1:16" ht="12.75" customHeight="1" x14ac:dyDescent="0.2">
      <c r="A80" s="16" t="str">
        <f t="shared" si="12"/>
        <v> AAB 2.158 </v>
      </c>
      <c r="B80" s="7" t="str">
        <f t="shared" si="13"/>
        <v>I</v>
      </c>
      <c r="C80" s="16">
        <f t="shared" si="14"/>
        <v>33330.474999999999</v>
      </c>
      <c r="D80" t="str">
        <f t="shared" si="15"/>
        <v>vis</v>
      </c>
      <c r="E80">
        <f>VLOOKUP(C80,Active!C$21:E$972,3,FALSE)</f>
        <v>3453.9913349076778</v>
      </c>
      <c r="F80" s="7" t="s">
        <v>93</v>
      </c>
      <c r="G80" t="str">
        <f t="shared" si="16"/>
        <v>33330.475</v>
      </c>
      <c r="H80" s="16">
        <f t="shared" si="17"/>
        <v>3454</v>
      </c>
      <c r="I80" s="25" t="s">
        <v>346</v>
      </c>
      <c r="J80" s="26" t="s">
        <v>347</v>
      </c>
      <c r="K80" s="25">
        <v>3454</v>
      </c>
      <c r="L80" s="25" t="s">
        <v>348</v>
      </c>
      <c r="M80" s="26" t="s">
        <v>97</v>
      </c>
      <c r="N80" s="26"/>
      <c r="O80" s="27" t="s">
        <v>335</v>
      </c>
      <c r="P80" s="27" t="s">
        <v>44</v>
      </c>
    </row>
    <row r="81" spans="1:16" ht="12.75" customHeight="1" x14ac:dyDescent="0.2">
      <c r="A81" s="16" t="str">
        <f t="shared" si="12"/>
        <v> AAB 2.158 </v>
      </c>
      <c r="B81" s="7" t="str">
        <f t="shared" si="13"/>
        <v>I</v>
      </c>
      <c r="C81" s="16">
        <f t="shared" si="14"/>
        <v>33358.442000000003</v>
      </c>
      <c r="D81" t="str">
        <f t="shared" si="15"/>
        <v>vis</v>
      </c>
      <c r="E81">
        <f>VLOOKUP(C81,Active!C$21:E$972,3,FALSE)</f>
        <v>3466.9922274493779</v>
      </c>
      <c r="F81" s="7" t="s">
        <v>93</v>
      </c>
      <c r="G81" t="str">
        <f t="shared" si="16"/>
        <v>33358.442</v>
      </c>
      <c r="H81" s="16">
        <f t="shared" si="17"/>
        <v>3467</v>
      </c>
      <c r="I81" s="25" t="s">
        <v>349</v>
      </c>
      <c r="J81" s="26" t="s">
        <v>350</v>
      </c>
      <c r="K81" s="25">
        <v>3467</v>
      </c>
      <c r="L81" s="25" t="s">
        <v>351</v>
      </c>
      <c r="M81" s="26" t="s">
        <v>97</v>
      </c>
      <c r="N81" s="26"/>
      <c r="O81" s="27" t="s">
        <v>335</v>
      </c>
      <c r="P81" s="27" t="s">
        <v>44</v>
      </c>
    </row>
    <row r="82" spans="1:16" ht="12.75" customHeight="1" x14ac:dyDescent="0.2">
      <c r="A82" s="16" t="str">
        <f t="shared" si="12"/>
        <v> AAB 2.158 </v>
      </c>
      <c r="B82" s="7" t="str">
        <f t="shared" si="13"/>
        <v>I</v>
      </c>
      <c r="C82" s="16">
        <f t="shared" si="14"/>
        <v>33571.411999999997</v>
      </c>
      <c r="D82" t="str">
        <f t="shared" si="15"/>
        <v>vis</v>
      </c>
      <c r="E82">
        <f>VLOOKUP(C82,Active!C$21:E$972,3,FALSE)</f>
        <v>3565.99462615519</v>
      </c>
      <c r="F82" s="7" t="s">
        <v>93</v>
      </c>
      <c r="G82" t="str">
        <f t="shared" si="16"/>
        <v>33571.412</v>
      </c>
      <c r="H82" s="16">
        <f t="shared" si="17"/>
        <v>3566</v>
      </c>
      <c r="I82" s="25" t="s">
        <v>352</v>
      </c>
      <c r="J82" s="26" t="s">
        <v>353</v>
      </c>
      <c r="K82" s="25">
        <v>3566</v>
      </c>
      <c r="L82" s="25" t="s">
        <v>290</v>
      </c>
      <c r="M82" s="26" t="s">
        <v>97</v>
      </c>
      <c r="N82" s="26"/>
      <c r="O82" s="27" t="s">
        <v>335</v>
      </c>
      <c r="P82" s="27" t="s">
        <v>44</v>
      </c>
    </row>
    <row r="83" spans="1:16" ht="12.75" customHeight="1" x14ac:dyDescent="0.2">
      <c r="A83" s="16" t="str">
        <f t="shared" si="12"/>
        <v> AAB 2.158 </v>
      </c>
      <c r="B83" s="7" t="str">
        <f t="shared" si="13"/>
        <v>I</v>
      </c>
      <c r="C83" s="16">
        <f t="shared" si="14"/>
        <v>33599.381999999998</v>
      </c>
      <c r="D83" t="str">
        <f t="shared" si="15"/>
        <v>vis</v>
      </c>
      <c r="E83">
        <f>VLOOKUP(C83,Active!C$21:E$972,3,FALSE)</f>
        <v>3578.9969132932924</v>
      </c>
      <c r="F83" s="7" t="s">
        <v>93</v>
      </c>
      <c r="G83" t="str">
        <f t="shared" si="16"/>
        <v>33599.382</v>
      </c>
      <c r="H83" s="16">
        <f t="shared" si="17"/>
        <v>3579</v>
      </c>
      <c r="I83" s="25" t="s">
        <v>354</v>
      </c>
      <c r="J83" s="26" t="s">
        <v>355</v>
      </c>
      <c r="K83" s="25">
        <v>3579</v>
      </c>
      <c r="L83" s="25" t="s">
        <v>250</v>
      </c>
      <c r="M83" s="26" t="s">
        <v>97</v>
      </c>
      <c r="N83" s="26"/>
      <c r="O83" s="27" t="s">
        <v>335</v>
      </c>
      <c r="P83" s="27" t="s">
        <v>44</v>
      </c>
    </row>
    <row r="84" spans="1:16" ht="12.75" customHeight="1" x14ac:dyDescent="0.2">
      <c r="A84" s="16" t="str">
        <f t="shared" si="12"/>
        <v> AAC 5.74 </v>
      </c>
      <c r="B84" s="7" t="str">
        <f t="shared" si="13"/>
        <v>I</v>
      </c>
      <c r="C84" s="16">
        <f t="shared" si="14"/>
        <v>33629.500999999997</v>
      </c>
      <c r="D84" t="str">
        <f t="shared" si="15"/>
        <v>vis</v>
      </c>
      <c r="E84">
        <f>VLOOKUP(C84,Active!C$21:E$972,3,FALSE)</f>
        <v>3592.9981963219834</v>
      </c>
      <c r="F84" s="7" t="s">
        <v>93</v>
      </c>
      <c r="G84" t="str">
        <f t="shared" si="16"/>
        <v>33629.501</v>
      </c>
      <c r="H84" s="16">
        <f t="shared" si="17"/>
        <v>3593</v>
      </c>
      <c r="I84" s="25" t="s">
        <v>356</v>
      </c>
      <c r="J84" s="26" t="s">
        <v>357</v>
      </c>
      <c r="K84" s="25">
        <v>3593</v>
      </c>
      <c r="L84" s="25" t="s">
        <v>247</v>
      </c>
      <c r="M84" s="26" t="s">
        <v>97</v>
      </c>
      <c r="N84" s="26"/>
      <c r="O84" s="27" t="s">
        <v>335</v>
      </c>
      <c r="P84" s="27" t="s">
        <v>49</v>
      </c>
    </row>
    <row r="85" spans="1:16" ht="12.75" customHeight="1" x14ac:dyDescent="0.2">
      <c r="A85" s="16" t="str">
        <f t="shared" si="12"/>
        <v> AAC 5.74 </v>
      </c>
      <c r="B85" s="7" t="str">
        <f t="shared" si="13"/>
        <v>I</v>
      </c>
      <c r="C85" s="16">
        <f t="shared" si="14"/>
        <v>33685.423000000003</v>
      </c>
      <c r="D85" t="str">
        <f t="shared" si="15"/>
        <v>vis</v>
      </c>
      <c r="E85">
        <f>VLOOKUP(C85,Active!C$21:E$972,3,FALSE)</f>
        <v>3618.994403019768</v>
      </c>
      <c r="F85" s="7" t="s">
        <v>93</v>
      </c>
      <c r="G85" t="str">
        <f t="shared" si="16"/>
        <v>33685.423</v>
      </c>
      <c r="H85" s="16">
        <f t="shared" si="17"/>
        <v>3619</v>
      </c>
      <c r="I85" s="25" t="s">
        <v>358</v>
      </c>
      <c r="J85" s="26" t="s">
        <v>359</v>
      </c>
      <c r="K85" s="25">
        <v>3619</v>
      </c>
      <c r="L85" s="25" t="s">
        <v>290</v>
      </c>
      <c r="M85" s="26" t="s">
        <v>97</v>
      </c>
      <c r="N85" s="26"/>
      <c r="O85" s="27" t="s">
        <v>335</v>
      </c>
      <c r="P85" s="27" t="s">
        <v>49</v>
      </c>
    </row>
    <row r="86" spans="1:16" ht="12.75" customHeight="1" x14ac:dyDescent="0.2">
      <c r="A86" s="16" t="str">
        <f t="shared" si="12"/>
        <v> MHAR 19.5 </v>
      </c>
      <c r="B86" s="7" t="str">
        <f t="shared" si="13"/>
        <v>I</v>
      </c>
      <c r="C86" s="16">
        <f t="shared" si="14"/>
        <v>39407.461000000003</v>
      </c>
      <c r="D86" t="str">
        <f t="shared" si="15"/>
        <v>vis</v>
      </c>
      <c r="E86">
        <f>VLOOKUP(C86,Active!C$21:E$972,3,FALSE)</f>
        <v>6278.9722754234945</v>
      </c>
      <c r="F86" s="7" t="s">
        <v>93</v>
      </c>
      <c r="G86" t="str">
        <f t="shared" si="16"/>
        <v>39407.461</v>
      </c>
      <c r="H86" s="16">
        <f t="shared" si="17"/>
        <v>6279</v>
      </c>
      <c r="I86" s="25" t="s">
        <v>360</v>
      </c>
      <c r="J86" s="26" t="s">
        <v>361</v>
      </c>
      <c r="K86" s="25">
        <v>6279</v>
      </c>
      <c r="L86" s="25" t="s">
        <v>362</v>
      </c>
      <c r="M86" s="26" t="s">
        <v>102</v>
      </c>
      <c r="N86" s="26"/>
      <c r="O86" s="27" t="s">
        <v>103</v>
      </c>
      <c r="P86" s="27" t="s">
        <v>50</v>
      </c>
    </row>
    <row r="87" spans="1:16" ht="12.75" customHeight="1" x14ac:dyDescent="0.2">
      <c r="A87" s="16" t="str">
        <f t="shared" si="12"/>
        <v> MHAR 19.5 </v>
      </c>
      <c r="B87" s="7" t="str">
        <f t="shared" si="13"/>
        <v>I</v>
      </c>
      <c r="C87" s="16">
        <f t="shared" si="14"/>
        <v>39562.351999999999</v>
      </c>
      <c r="D87" t="str">
        <f t="shared" si="15"/>
        <v>vis</v>
      </c>
      <c r="E87">
        <f>VLOOKUP(C87,Active!C$21:E$972,3,FALSE)</f>
        <v>6350.9757526171925</v>
      </c>
      <c r="F87" s="7" t="s">
        <v>93</v>
      </c>
      <c r="G87" t="str">
        <f t="shared" si="16"/>
        <v>39562.352</v>
      </c>
      <c r="H87" s="16">
        <f t="shared" si="17"/>
        <v>6351</v>
      </c>
      <c r="I87" s="25" t="s">
        <v>363</v>
      </c>
      <c r="J87" s="26" t="s">
        <v>364</v>
      </c>
      <c r="K87" s="25">
        <v>6351</v>
      </c>
      <c r="L87" s="25" t="s">
        <v>365</v>
      </c>
      <c r="M87" s="26" t="s">
        <v>102</v>
      </c>
      <c r="N87" s="26"/>
      <c r="O87" s="27" t="s">
        <v>103</v>
      </c>
      <c r="P87" s="27" t="s">
        <v>50</v>
      </c>
    </row>
    <row r="88" spans="1:16" ht="12.75" customHeight="1" x14ac:dyDescent="0.2">
      <c r="A88" s="16" t="str">
        <f t="shared" si="12"/>
        <v> MHAR 19.5 </v>
      </c>
      <c r="B88" s="7" t="str">
        <f t="shared" si="13"/>
        <v>I</v>
      </c>
      <c r="C88" s="16">
        <f t="shared" si="14"/>
        <v>39564.538999999997</v>
      </c>
      <c r="D88" t="str">
        <f t="shared" si="15"/>
        <v>vis</v>
      </c>
      <c r="E88">
        <f>VLOOKUP(C88,Active!C$21:E$972,3,FALSE)</f>
        <v>6351.9924133955628</v>
      </c>
      <c r="F88" s="7" t="s">
        <v>93</v>
      </c>
      <c r="G88" t="str">
        <f t="shared" si="16"/>
        <v>39564.539</v>
      </c>
      <c r="H88" s="16">
        <f t="shared" si="17"/>
        <v>6352</v>
      </c>
      <c r="I88" s="25" t="s">
        <v>366</v>
      </c>
      <c r="J88" s="26" t="s">
        <v>367</v>
      </c>
      <c r="K88" s="25">
        <v>6352</v>
      </c>
      <c r="L88" s="25" t="s">
        <v>368</v>
      </c>
      <c r="M88" s="26" t="s">
        <v>102</v>
      </c>
      <c r="N88" s="26"/>
      <c r="O88" s="27" t="s">
        <v>103</v>
      </c>
      <c r="P88" s="27" t="s">
        <v>50</v>
      </c>
    </row>
    <row r="89" spans="1:16" ht="12.75" customHeight="1" x14ac:dyDescent="0.2">
      <c r="A89" s="16" t="str">
        <f t="shared" si="12"/>
        <v> MHAR 19.5 </v>
      </c>
      <c r="B89" s="7" t="str">
        <f t="shared" si="13"/>
        <v>I</v>
      </c>
      <c r="C89" s="16">
        <f t="shared" si="14"/>
        <v>39917.303999999996</v>
      </c>
      <c r="D89" t="str">
        <f t="shared" si="15"/>
        <v>vis</v>
      </c>
      <c r="E89">
        <f>VLOOKUP(C89,Active!C$21:E$972,3,FALSE)</f>
        <v>6515.9806801911518</v>
      </c>
      <c r="F89" s="7" t="s">
        <v>93</v>
      </c>
      <c r="G89" t="str">
        <f t="shared" si="16"/>
        <v>39917.304</v>
      </c>
      <c r="H89" s="16">
        <f t="shared" si="17"/>
        <v>6516</v>
      </c>
      <c r="I89" s="25" t="s">
        <v>369</v>
      </c>
      <c r="J89" s="26" t="s">
        <v>370</v>
      </c>
      <c r="K89" s="25">
        <v>6516</v>
      </c>
      <c r="L89" s="25" t="s">
        <v>371</v>
      </c>
      <c r="M89" s="26" t="s">
        <v>102</v>
      </c>
      <c r="N89" s="26"/>
      <c r="O89" s="27" t="s">
        <v>103</v>
      </c>
      <c r="P89" s="27" t="s">
        <v>50</v>
      </c>
    </row>
    <row r="90" spans="1:16" ht="12.75" customHeight="1" x14ac:dyDescent="0.2">
      <c r="A90" s="16" t="str">
        <f t="shared" si="12"/>
        <v> MHAR 19.5 </v>
      </c>
      <c r="B90" s="7" t="str">
        <f t="shared" si="13"/>
        <v>I</v>
      </c>
      <c r="C90" s="16">
        <f t="shared" si="14"/>
        <v>39949.578000000001</v>
      </c>
      <c r="D90" t="str">
        <f t="shared" si="15"/>
        <v>vis</v>
      </c>
      <c r="E90">
        <f>VLOOKUP(C90,Active!C$21:E$972,3,FALSE)</f>
        <v>6530.9837483032425</v>
      </c>
      <c r="F90" s="7" t="s">
        <v>93</v>
      </c>
      <c r="G90" t="str">
        <f t="shared" si="16"/>
        <v>39949.578</v>
      </c>
      <c r="H90" s="16">
        <f t="shared" si="17"/>
        <v>6531</v>
      </c>
      <c r="I90" s="25" t="s">
        <v>372</v>
      </c>
      <c r="J90" s="26" t="s">
        <v>373</v>
      </c>
      <c r="K90" s="25">
        <v>6531</v>
      </c>
      <c r="L90" s="25" t="s">
        <v>374</v>
      </c>
      <c r="M90" s="26" t="s">
        <v>102</v>
      </c>
      <c r="N90" s="26"/>
      <c r="O90" s="27" t="s">
        <v>103</v>
      </c>
      <c r="P90" s="27" t="s">
        <v>50</v>
      </c>
    </row>
    <row r="91" spans="1:16" ht="12.75" customHeight="1" x14ac:dyDescent="0.2">
      <c r="A91" s="16" t="str">
        <f t="shared" si="12"/>
        <v> MHAR 19.5 </v>
      </c>
      <c r="B91" s="7" t="str">
        <f t="shared" si="13"/>
        <v>I</v>
      </c>
      <c r="C91" s="16">
        <f t="shared" si="14"/>
        <v>40504.561000000002</v>
      </c>
      <c r="D91" t="str">
        <f t="shared" si="15"/>
        <v>vis</v>
      </c>
      <c r="E91">
        <f>VLOOKUP(C91,Active!C$21:E$972,3,FALSE)</f>
        <v>6788.9761802934245</v>
      </c>
      <c r="F91" s="7" t="s">
        <v>93</v>
      </c>
      <c r="G91" t="str">
        <f t="shared" si="16"/>
        <v>40504.561</v>
      </c>
      <c r="H91" s="16">
        <f t="shared" si="17"/>
        <v>6789</v>
      </c>
      <c r="I91" s="25" t="s">
        <v>375</v>
      </c>
      <c r="J91" s="26" t="s">
        <v>376</v>
      </c>
      <c r="K91" s="25">
        <v>6789</v>
      </c>
      <c r="L91" s="25" t="s">
        <v>377</v>
      </c>
      <c r="M91" s="26" t="s">
        <v>102</v>
      </c>
      <c r="N91" s="26"/>
      <c r="O91" s="27" t="s">
        <v>103</v>
      </c>
      <c r="P91" s="27" t="s">
        <v>50</v>
      </c>
    </row>
    <row r="92" spans="1:16" ht="12.75" customHeight="1" x14ac:dyDescent="0.2">
      <c r="A92" s="16" t="str">
        <f t="shared" si="12"/>
        <v>BAVM 62 </v>
      </c>
      <c r="B92" s="7" t="str">
        <f t="shared" si="13"/>
        <v>I</v>
      </c>
      <c r="C92" s="16">
        <f t="shared" si="14"/>
        <v>48644.398999999998</v>
      </c>
      <c r="D92" t="str">
        <f t="shared" si="15"/>
        <v>vis</v>
      </c>
      <c r="E92">
        <f>VLOOKUP(C92,Active!C$21:E$972,3,FALSE)</f>
        <v>10572.905781066958</v>
      </c>
      <c r="F92" s="7" t="s">
        <v>93</v>
      </c>
      <c r="G92" t="str">
        <f t="shared" si="16"/>
        <v>48644.399</v>
      </c>
      <c r="H92" s="16">
        <f t="shared" si="17"/>
        <v>10573</v>
      </c>
      <c r="I92" s="25" t="s">
        <v>378</v>
      </c>
      <c r="J92" s="26" t="s">
        <v>379</v>
      </c>
      <c r="K92" s="25">
        <v>10573</v>
      </c>
      <c r="L92" s="25" t="s">
        <v>380</v>
      </c>
      <c r="M92" s="26" t="s">
        <v>137</v>
      </c>
      <c r="N92" s="26"/>
      <c r="O92" s="27" t="s">
        <v>381</v>
      </c>
      <c r="P92" s="28" t="s">
        <v>59</v>
      </c>
    </row>
    <row r="93" spans="1:16" ht="12.75" customHeight="1" x14ac:dyDescent="0.2">
      <c r="A93" s="16" t="str">
        <f t="shared" si="12"/>
        <v> AOEB 12 </v>
      </c>
      <c r="B93" s="7" t="str">
        <f t="shared" si="13"/>
        <v>I</v>
      </c>
      <c r="C93" s="16">
        <f t="shared" si="14"/>
        <v>49401.584999999999</v>
      </c>
      <c r="D93" t="str">
        <f t="shared" si="15"/>
        <v>vis</v>
      </c>
      <c r="E93">
        <f>VLOOKUP(C93,Active!C$21:E$972,3,FALSE)</f>
        <v>10924.895405269715</v>
      </c>
      <c r="F93" s="7" t="s">
        <v>93</v>
      </c>
      <c r="G93" t="str">
        <f t="shared" si="16"/>
        <v>49401.585</v>
      </c>
      <c r="H93" s="16">
        <f t="shared" si="17"/>
        <v>10925</v>
      </c>
      <c r="I93" s="25" t="s">
        <v>382</v>
      </c>
      <c r="J93" s="26" t="s">
        <v>383</v>
      </c>
      <c r="K93" s="25">
        <v>10925</v>
      </c>
      <c r="L93" s="25" t="s">
        <v>384</v>
      </c>
      <c r="M93" s="26" t="s">
        <v>97</v>
      </c>
      <c r="N93" s="26"/>
      <c r="O93" s="27" t="s">
        <v>385</v>
      </c>
      <c r="P93" s="27" t="s">
        <v>61</v>
      </c>
    </row>
    <row r="94" spans="1:16" ht="12.75" customHeight="1" x14ac:dyDescent="0.2">
      <c r="A94" s="16" t="str">
        <f t="shared" si="12"/>
        <v> AOEB 12 </v>
      </c>
      <c r="B94" s="7" t="str">
        <f t="shared" si="13"/>
        <v>I</v>
      </c>
      <c r="C94" s="16">
        <f t="shared" si="14"/>
        <v>49416.663</v>
      </c>
      <c r="D94" t="str">
        <f t="shared" si="15"/>
        <v>vis</v>
      </c>
      <c r="E94">
        <f>VLOOKUP(C94,Active!C$21:E$972,3,FALSE)</f>
        <v>10931.904646795218</v>
      </c>
      <c r="F94" s="7" t="str">
        <f>LEFT(M94,1)</f>
        <v>V</v>
      </c>
      <c r="G94" t="str">
        <f t="shared" si="16"/>
        <v>49416.663</v>
      </c>
      <c r="H94" s="16">
        <f t="shared" si="17"/>
        <v>10932</v>
      </c>
      <c r="I94" s="25" t="s">
        <v>386</v>
      </c>
      <c r="J94" s="26" t="s">
        <v>387</v>
      </c>
      <c r="K94" s="25">
        <v>10932</v>
      </c>
      <c r="L94" s="25" t="s">
        <v>388</v>
      </c>
      <c r="M94" s="26" t="s">
        <v>97</v>
      </c>
      <c r="N94" s="26"/>
      <c r="O94" s="27" t="s">
        <v>385</v>
      </c>
      <c r="P94" s="27" t="s">
        <v>61</v>
      </c>
    </row>
    <row r="95" spans="1:16" ht="12.75" customHeight="1" x14ac:dyDescent="0.2">
      <c r="A95" s="16" t="str">
        <f t="shared" si="12"/>
        <v> AOEB 12 </v>
      </c>
      <c r="B95" s="7" t="str">
        <f t="shared" si="13"/>
        <v>I</v>
      </c>
      <c r="C95" s="16">
        <f t="shared" si="14"/>
        <v>51608.637999999999</v>
      </c>
      <c r="D95" t="str">
        <f t="shared" si="15"/>
        <v>vis</v>
      </c>
      <c r="E95">
        <f>VLOOKUP(C95,Active!C$21:E$972,3,FALSE)</f>
        <v>11950.878130868927</v>
      </c>
      <c r="F95" s="7" t="str">
        <f>LEFT(M95,1)</f>
        <v>V</v>
      </c>
      <c r="G95" t="str">
        <f t="shared" si="16"/>
        <v>51608.638</v>
      </c>
      <c r="H95" s="16">
        <f t="shared" si="17"/>
        <v>11951</v>
      </c>
      <c r="I95" s="25" t="s">
        <v>389</v>
      </c>
      <c r="J95" s="26" t="s">
        <v>390</v>
      </c>
      <c r="K95" s="25">
        <v>11951</v>
      </c>
      <c r="L95" s="25" t="s">
        <v>391</v>
      </c>
      <c r="M95" s="26" t="s">
        <v>97</v>
      </c>
      <c r="N95" s="26"/>
      <c r="O95" s="27" t="s">
        <v>385</v>
      </c>
      <c r="P95" s="27" t="s">
        <v>61</v>
      </c>
    </row>
    <row r="96" spans="1:16" ht="12.75" customHeight="1" x14ac:dyDescent="0.2">
      <c r="A96" s="16" t="str">
        <f t="shared" si="12"/>
        <v> AOEB 12 </v>
      </c>
      <c r="B96" s="7" t="str">
        <f t="shared" si="13"/>
        <v>I</v>
      </c>
      <c r="C96" s="16">
        <f t="shared" si="14"/>
        <v>52264.712500000001</v>
      </c>
      <c r="D96" t="str">
        <f t="shared" si="15"/>
        <v>vis</v>
      </c>
      <c r="E96">
        <f>VLOOKUP(C96,Active!C$21:E$972,3,FALSE)</f>
        <v>12255.864510310717</v>
      </c>
      <c r="F96" s="7" t="s">
        <v>93</v>
      </c>
      <c r="G96" t="str">
        <f t="shared" si="16"/>
        <v>52264.7125</v>
      </c>
      <c r="H96" s="16">
        <f t="shared" si="17"/>
        <v>12256</v>
      </c>
      <c r="I96" s="25" t="s">
        <v>392</v>
      </c>
      <c r="J96" s="26" t="s">
        <v>393</v>
      </c>
      <c r="K96" s="25">
        <v>12256</v>
      </c>
      <c r="L96" s="25" t="s">
        <v>394</v>
      </c>
      <c r="M96" s="26" t="s">
        <v>174</v>
      </c>
      <c r="N96" s="26" t="s">
        <v>190</v>
      </c>
      <c r="O96" s="27" t="s">
        <v>395</v>
      </c>
      <c r="P96" s="27" t="s">
        <v>61</v>
      </c>
    </row>
    <row r="97" spans="1:16" ht="12.75" customHeight="1" x14ac:dyDescent="0.2">
      <c r="A97" s="16" t="str">
        <f t="shared" si="12"/>
        <v> AOEB 12 </v>
      </c>
      <c r="B97" s="7" t="str">
        <f t="shared" si="13"/>
        <v>I</v>
      </c>
      <c r="C97" s="16">
        <f t="shared" si="14"/>
        <v>52290.525600000001</v>
      </c>
      <c r="D97" t="str">
        <f t="shared" si="15"/>
        <v>vis</v>
      </c>
      <c r="E97">
        <f>VLOOKUP(C97,Active!C$21:E$972,3,FALSE)</f>
        <v>12267.864129121033</v>
      </c>
      <c r="F97" s="7" t="s">
        <v>93</v>
      </c>
      <c r="G97" t="str">
        <f t="shared" si="16"/>
        <v>52290.5256</v>
      </c>
      <c r="H97" s="16">
        <f t="shared" si="17"/>
        <v>12268</v>
      </c>
      <c r="I97" s="25" t="s">
        <v>396</v>
      </c>
      <c r="J97" s="26" t="s">
        <v>397</v>
      </c>
      <c r="K97" s="25">
        <v>12268</v>
      </c>
      <c r="L97" s="25" t="s">
        <v>398</v>
      </c>
      <c r="M97" s="26" t="s">
        <v>174</v>
      </c>
      <c r="N97" s="26" t="s">
        <v>190</v>
      </c>
      <c r="O97" s="27" t="s">
        <v>395</v>
      </c>
      <c r="P97" s="27" t="s">
        <v>61</v>
      </c>
    </row>
    <row r="98" spans="1:16" ht="12.75" customHeight="1" x14ac:dyDescent="0.2">
      <c r="A98" s="16" t="str">
        <f t="shared" si="12"/>
        <v>VSB 44 </v>
      </c>
      <c r="B98" s="7" t="str">
        <f t="shared" si="13"/>
        <v>I</v>
      </c>
      <c r="C98" s="16">
        <f t="shared" si="14"/>
        <v>53682.294999999998</v>
      </c>
      <c r="D98" t="str">
        <f t="shared" si="15"/>
        <v>vis</v>
      </c>
      <c r="E98">
        <f>VLOOKUP(C98,Active!C$21:E$972,3,FALSE)</f>
        <v>12914.84966250767</v>
      </c>
      <c r="F98" s="7" t="s">
        <v>93</v>
      </c>
      <c r="G98" t="str">
        <f t="shared" si="16"/>
        <v>53682.295</v>
      </c>
      <c r="H98" s="16">
        <f t="shared" si="17"/>
        <v>12915</v>
      </c>
      <c r="I98" s="25" t="s">
        <v>399</v>
      </c>
      <c r="J98" s="26" t="s">
        <v>400</v>
      </c>
      <c r="K98" s="25">
        <v>12915</v>
      </c>
      <c r="L98" s="25" t="s">
        <v>401</v>
      </c>
      <c r="M98" s="26" t="s">
        <v>97</v>
      </c>
      <c r="N98" s="26"/>
      <c r="O98" s="27" t="s">
        <v>402</v>
      </c>
      <c r="P98" s="28" t="s">
        <v>66</v>
      </c>
    </row>
    <row r="99" spans="1:16" ht="12.75" customHeight="1" x14ac:dyDescent="0.2">
      <c r="A99" s="16" t="str">
        <f t="shared" si="12"/>
        <v> AOEB 12 </v>
      </c>
      <c r="B99" s="7" t="str">
        <f t="shared" si="13"/>
        <v>I</v>
      </c>
      <c r="C99" s="16">
        <f t="shared" si="14"/>
        <v>54116.821900000003</v>
      </c>
      <c r="D99" t="str">
        <f t="shared" si="15"/>
        <v>vis</v>
      </c>
      <c r="E99">
        <f>VLOOKUP(C99,Active!C$21:E$972,3,FALSE)</f>
        <v>13116.846213205899</v>
      </c>
      <c r="F99" s="7" t="s">
        <v>93</v>
      </c>
      <c r="G99" t="str">
        <f t="shared" si="16"/>
        <v>54116.8219</v>
      </c>
      <c r="H99" s="16">
        <f t="shared" si="17"/>
        <v>13117</v>
      </c>
      <c r="I99" s="25" t="s">
        <v>403</v>
      </c>
      <c r="J99" s="26" t="s">
        <v>404</v>
      </c>
      <c r="K99" s="25">
        <v>13117</v>
      </c>
      <c r="L99" s="25" t="s">
        <v>405</v>
      </c>
      <c r="M99" s="26" t="s">
        <v>174</v>
      </c>
      <c r="N99" s="26" t="s">
        <v>190</v>
      </c>
      <c r="O99" s="27" t="s">
        <v>191</v>
      </c>
      <c r="P99" s="27" t="s">
        <v>61</v>
      </c>
    </row>
    <row r="100" spans="1:16" ht="12.75" customHeight="1" x14ac:dyDescent="0.2">
      <c r="A100" s="16" t="str">
        <f t="shared" si="12"/>
        <v>VSB 46 </v>
      </c>
      <c r="B100" s="7" t="str">
        <f t="shared" si="13"/>
        <v>I</v>
      </c>
      <c r="C100" s="16">
        <f t="shared" si="14"/>
        <v>54134.031600000002</v>
      </c>
      <c r="D100" t="str">
        <f t="shared" si="15"/>
        <v>vis</v>
      </c>
      <c r="E100">
        <f>VLOOKUP(C100,Active!C$21:E$972,3,FALSE)</f>
        <v>13124.846408449397</v>
      </c>
      <c r="F100" s="7" t="s">
        <v>93</v>
      </c>
      <c r="G100" t="str">
        <f t="shared" si="16"/>
        <v>54134.0316</v>
      </c>
      <c r="H100" s="16">
        <f t="shared" si="17"/>
        <v>13125</v>
      </c>
      <c r="I100" s="25" t="s">
        <v>406</v>
      </c>
      <c r="J100" s="26" t="s">
        <v>407</v>
      </c>
      <c r="K100" s="25">
        <v>13125</v>
      </c>
      <c r="L100" s="25" t="s">
        <v>408</v>
      </c>
      <c r="M100" s="26" t="s">
        <v>174</v>
      </c>
      <c r="N100" s="26" t="s">
        <v>409</v>
      </c>
      <c r="O100" s="27" t="s">
        <v>410</v>
      </c>
      <c r="P100" s="28" t="s">
        <v>68</v>
      </c>
    </row>
    <row r="101" spans="1:16" ht="12.75" customHeight="1" x14ac:dyDescent="0.2">
      <c r="A101" s="16" t="str">
        <f t="shared" si="12"/>
        <v>VSB 59 </v>
      </c>
      <c r="B101" s="7" t="str">
        <f t="shared" si="13"/>
        <v>I</v>
      </c>
      <c r="C101" s="16">
        <f t="shared" si="14"/>
        <v>57010.030299999999</v>
      </c>
      <c r="D101" t="str">
        <f t="shared" si="15"/>
        <v>vis</v>
      </c>
      <c r="E101">
        <f>VLOOKUP(C101,Active!C$21:E$972,3,FALSE)</f>
        <v>14461.798889901263</v>
      </c>
      <c r="F101" s="7" t="s">
        <v>93</v>
      </c>
      <c r="G101" t="str">
        <f t="shared" si="16"/>
        <v>57010.0303</v>
      </c>
      <c r="H101" s="16">
        <f t="shared" si="17"/>
        <v>14462</v>
      </c>
      <c r="I101" s="25" t="s">
        <v>411</v>
      </c>
      <c r="J101" s="26" t="s">
        <v>412</v>
      </c>
      <c r="K101" s="25" t="s">
        <v>413</v>
      </c>
      <c r="L101" s="25" t="s">
        <v>414</v>
      </c>
      <c r="M101" s="26" t="s">
        <v>174</v>
      </c>
      <c r="N101" s="26" t="s">
        <v>93</v>
      </c>
      <c r="O101" s="27" t="s">
        <v>415</v>
      </c>
      <c r="P101" s="28" t="s">
        <v>79</v>
      </c>
    </row>
    <row r="102" spans="1:16" ht="12.75" customHeight="1" x14ac:dyDescent="0.2">
      <c r="A102" s="16" t="str">
        <f t="shared" si="12"/>
        <v> JAAVSO 43-1 </v>
      </c>
      <c r="B102" s="7" t="str">
        <f t="shared" si="13"/>
        <v>I</v>
      </c>
      <c r="C102" s="16">
        <f t="shared" si="14"/>
        <v>57076.717299999997</v>
      </c>
      <c r="D102" t="str">
        <f t="shared" si="15"/>
        <v>vis</v>
      </c>
      <c r="E102">
        <f>VLOOKUP(C102,Active!C$21:E$972,3,FALSE)</f>
        <v>14492.799373361349</v>
      </c>
      <c r="F102" s="7" t="s">
        <v>93</v>
      </c>
      <c r="G102" t="str">
        <f t="shared" si="16"/>
        <v>57076.7173</v>
      </c>
      <c r="H102" s="16">
        <f t="shared" si="17"/>
        <v>14493</v>
      </c>
      <c r="I102" s="25" t="s">
        <v>416</v>
      </c>
      <c r="J102" s="26" t="s">
        <v>417</v>
      </c>
      <c r="K102" s="25" t="s">
        <v>418</v>
      </c>
      <c r="L102" s="25" t="s">
        <v>419</v>
      </c>
      <c r="M102" s="26" t="s">
        <v>174</v>
      </c>
      <c r="N102" s="26" t="s">
        <v>93</v>
      </c>
      <c r="O102" s="27" t="s">
        <v>420</v>
      </c>
      <c r="P102" s="27" t="s">
        <v>82</v>
      </c>
    </row>
  </sheetData>
  <sheetProtection selectLockedCells="1" selectUnlockedCells="1"/>
  <hyperlinks>
    <hyperlink ref="P21" r:id="rId1" xr:uid="{00000000-0004-0000-0100-000000000000}"/>
    <hyperlink ref="P23" r:id="rId2" xr:uid="{00000000-0004-0000-0100-000001000000}"/>
    <hyperlink ref="P25" r:id="rId3" xr:uid="{00000000-0004-0000-0100-000002000000}"/>
    <hyperlink ref="P26" r:id="rId4" xr:uid="{00000000-0004-0000-0100-000003000000}"/>
    <hyperlink ref="P27" r:id="rId5" xr:uid="{00000000-0004-0000-0100-000004000000}"/>
    <hyperlink ref="P28" r:id="rId6" xr:uid="{00000000-0004-0000-0100-000005000000}"/>
    <hyperlink ref="P29" r:id="rId7" xr:uid="{00000000-0004-0000-0100-000006000000}"/>
    <hyperlink ref="P31" r:id="rId8" xr:uid="{00000000-0004-0000-0100-000007000000}"/>
    <hyperlink ref="P32" r:id="rId9" xr:uid="{00000000-0004-0000-0100-000008000000}"/>
    <hyperlink ref="P33" r:id="rId10" xr:uid="{00000000-0004-0000-0100-000009000000}"/>
    <hyperlink ref="P34" r:id="rId11" xr:uid="{00000000-0004-0000-0100-00000A000000}"/>
    <hyperlink ref="P36" r:id="rId12" xr:uid="{00000000-0004-0000-0100-00000B000000}"/>
    <hyperlink ref="P38" r:id="rId13" xr:uid="{00000000-0004-0000-0100-00000C000000}"/>
    <hyperlink ref="P40" r:id="rId14" xr:uid="{00000000-0004-0000-0100-00000D000000}"/>
    <hyperlink ref="P92" r:id="rId15" xr:uid="{00000000-0004-0000-0100-00000E000000}"/>
    <hyperlink ref="P98" r:id="rId16" xr:uid="{00000000-0004-0000-0100-00000F000000}"/>
    <hyperlink ref="P100" r:id="rId17" xr:uid="{00000000-0004-0000-0100-000010000000}"/>
    <hyperlink ref="P101" r:id="rId18" xr:uid="{00000000-0004-0000-0100-000011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Active</vt:lpstr>
      <vt:lpstr>BAV</vt:lpstr>
      <vt:lpstr>Active!solver_adj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2023-01-21T03:20:51Z</dcterms:created>
  <dcterms:modified xsi:type="dcterms:W3CDTF">2025-01-07T06:20:36Z</dcterms:modified>
</cp:coreProperties>
</file>