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85D24FC-5E7E-45AC-9A36-E7592BCF4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0" i="1" l="1"/>
  <c r="F50" i="1" s="1"/>
  <c r="G50" i="1" s="1"/>
  <c r="K50" i="1" s="1"/>
  <c r="Q50" i="1"/>
  <c r="E21" i="1"/>
  <c r="F21" i="1" s="1"/>
  <c r="G21" i="1" s="1"/>
  <c r="K21" i="1" s="1"/>
  <c r="Q21" i="1"/>
  <c r="F14" i="1"/>
  <c r="E47" i="1"/>
  <c r="F47" i="1" s="1"/>
  <c r="G47" i="1" s="1"/>
  <c r="K47" i="1" s="1"/>
  <c r="Q47" i="1"/>
  <c r="C9" i="1"/>
  <c r="D9" i="1"/>
  <c r="C17" i="1"/>
  <c r="E22" i="1"/>
  <c r="F22" i="1"/>
  <c r="G22" i="1" s="1"/>
  <c r="J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J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8" i="1"/>
  <c r="F48" i="1" s="1"/>
  <c r="G48" i="1" s="1"/>
  <c r="K48" i="1" s="1"/>
  <c r="Q48" i="1"/>
  <c r="E49" i="1"/>
  <c r="F49" i="1" s="1"/>
  <c r="G49" i="1" s="1"/>
  <c r="K49" i="1" s="1"/>
  <c r="Q49" i="1"/>
  <c r="C11" i="1"/>
  <c r="C12" i="1"/>
  <c r="O21" i="1" l="1"/>
  <c r="O50" i="1"/>
  <c r="F15" i="1"/>
  <c r="C16" i="1"/>
  <c r="D18" i="1" s="1"/>
  <c r="O41" i="1"/>
  <c r="O26" i="1"/>
  <c r="O36" i="1"/>
  <c r="O38" i="1"/>
  <c r="O44" i="1"/>
  <c r="O22" i="1"/>
  <c r="O28" i="1"/>
  <c r="O34" i="1"/>
  <c r="C15" i="1"/>
  <c r="O40" i="1"/>
  <c r="O29" i="1"/>
  <c r="O33" i="1"/>
  <c r="O23" i="1"/>
  <c r="O49" i="1"/>
  <c r="O46" i="1"/>
  <c r="O27" i="1"/>
  <c r="O39" i="1"/>
  <c r="O48" i="1"/>
  <c r="O43" i="1"/>
  <c r="O45" i="1"/>
  <c r="O42" i="1"/>
  <c r="O47" i="1"/>
  <c r="O37" i="1"/>
  <c r="O32" i="1"/>
  <c r="O31" i="1"/>
  <c r="O25" i="1"/>
  <c r="O30" i="1"/>
  <c r="O24" i="1"/>
  <c r="O3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<sst xmlns="http://schemas.openxmlformats.org/spreadsheetml/2006/main" count="112" uniqueCount="72">
  <si>
    <t>V0351 Peg / GSC 1713-1187</t>
  </si>
  <si>
    <t>System Type:</t>
  </si>
  <si>
    <t>EW</t>
  </si>
  <si>
    <t>(according to VSX)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</si>
  <si>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</si>
  <si>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</si>
  <si>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</si>
  <si>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</si>
  <si>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</si>
  <si>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</si>
  <si>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</si>
  <si>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</si>
  <si>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</si>
  <si>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</si>
  <si>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</si>
  <si>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</si>
  <si>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</si>
  <si>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</si>
  <si>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</si>
  <si>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</si>
  <si>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</si>
  <si>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</si>
  <si>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</si>
  <si>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</si>
  <si>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</si>
  <si>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</si>
  <si>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</si>
  <si>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</si>
  <si>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</si>
  <si>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</si>
  <si>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</si>
  <si>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</si>
  <si>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</si>
  <si>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</si>
  <si>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</si>
  <si>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</si>
  <si>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</si>
  <si>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</si>
  <si>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</si>
  <si>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</si>
  <si>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</si>
  <si>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</si>
  <si>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</si>
  <si>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5471</t>
  </si>
  <si>
    <t>II</t>
  </si>
  <si>
    <t>IBVS 6158</t>
  </si>
  <si>
    <t>I</t>
  </si>
  <si>
    <t>IBVS 5677</t>
  </si>
  <si>
    <t>IBVS 5777</t>
  </si>
  <si>
    <t>IBVS 5898</t>
  </si>
  <si>
    <t>OEJV 0074</t>
  </si>
  <si>
    <t>IBVS 5887</t>
  </si>
  <si>
    <t>OEJV 0137</t>
  </si>
  <si>
    <t>OEJV 0160</t>
  </si>
  <si>
    <t>IBVS 6044</t>
  </si>
  <si>
    <t>JAVSO..42..426</t>
  </si>
  <si>
    <t>JAVSO..44…69</t>
  </si>
  <si>
    <t>OEJV 0179</t>
  </si>
  <si>
    <t>JAVSO..45..121</t>
  </si>
  <si>
    <t>JAVSO..46..184</t>
  </si>
  <si>
    <t>JAVSO..48..256</t>
  </si>
  <si>
    <t>VSB 069</t>
  </si>
  <si>
    <t>cG</t>
  </si>
  <si>
    <t>cR</t>
  </si>
  <si>
    <t>JAVSO 49, 256</t>
  </si>
  <si>
    <t>JBAV 96</t>
  </si>
  <si>
    <t>Next ToM-P</t>
  </si>
  <si>
    <t>Next ToM-S</t>
  </si>
  <si>
    <t>8.00-8.31</t>
  </si>
  <si>
    <t>Mag Hp</t>
  </si>
  <si>
    <t>VSX</t>
  </si>
  <si>
    <t>IBVS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</si>
</sst>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4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6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2" fillId="0" borderId="0" xfId="0" applyFo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0" fillId="0" borderId="0" xfId="0" applyNumberForma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top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/>
    </xf>
    <xf numFmtId="0" fontId="7" fillId="0" borderId="0" xfId="6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0" xfId="0" applyNumberFormat="1" applyFont="1" applyAlignment="1" applyProtection="1">
      <alignment horizontal="left" vertical="center" wrapText="1"/>
      <protection locked="0"/>
    </xf>
    <xf numFmtId="0" fontId="0" fillId="0" borderId="4" xfId="0" applyBorder="1">
      <alignment vertical="top"/>
    </xf>
    <xf numFmtId="0" fontId="12" fillId="0" borderId="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22" fontId="13" fillId="0" borderId="8" xfId="0" applyNumberFormat="1" applyFont="1" applyBorder="1" applyAlignment="1">
      <alignment horizontal="right" vertical="center"/>
    </xf>
    <xf numFmtId="22" fontId="13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0" xfId="5" applyFont="1" applyFill="1"/>
    <xf numFmtId="0" fontId="0" fillId="0" borderId="0" xfId="0" applyAlignment="1">
      <alignment horizontal="left"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V0351 Peg - O-C Diagr.</a:t>
            </a:r>
          </a:p>
        </c:rich>
      </c:tx>
      <c:layout>
        <c:manualLayout>
          <c:xMode val="edge"/>
          <c:yMode val="edge"/>
          <c:x val="0.366917293233082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834586466165"/>
          <c:y val="0.15215278270396379"/>
          <c:w val="0.81654135338345868"/>
          <c:h val="0.63163320801116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Active!$H$21:$H$46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E9-482A-97B8-FDE33BC6A7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Active!$I$21:$I$46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E9-482A-97B8-FDE33BC6A7A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Active!$F$21:$F$406</c:f>
              <c:numCache>
                <c:formatCode>General</c:formatCode>
                <c:ptCount val="38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  <c:pt idx="26">
                  <c:v>17939</c:v>
                </c:pt>
                <c:pt idx="27">
                  <c:v>18017</c:v>
                </c:pt>
                <c:pt idx="28">
                  <c:v>18017</c:v>
                </c:pt>
                <c:pt idx="29">
                  <c:v>19838</c:v>
                </c:pt>
              </c:numCache>
            </c:numRef>
          </c:xVal>
          <c:yVal>
            <c:numRef>
              <c:f>Active!$J$21:$J$406</c:f>
              <c:numCache>
                <c:formatCode>General</c:formatCode>
                <c:ptCount val="386"/>
                <c:pt idx="1">
                  <c:v>1.9500002963468432E-5</c:v>
                </c:pt>
                <c:pt idx="12">
                  <c:v>-5.1555000027292408E-3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E9-482A-97B8-FDE33BC6A7A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Active!$F$21:$F$406</c:f>
              <c:numCache>
                <c:formatCode>General</c:formatCode>
                <c:ptCount val="38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  <c:pt idx="26">
                  <c:v>17939</c:v>
                </c:pt>
                <c:pt idx="27">
                  <c:v>18017</c:v>
                </c:pt>
                <c:pt idx="28">
                  <c:v>18017</c:v>
                </c:pt>
                <c:pt idx="29">
                  <c:v>19838</c:v>
                </c:pt>
              </c:numCache>
            </c:numRef>
          </c:xVal>
          <c:yVal>
            <c:numRef>
              <c:f>Active!$K$21:$K$406</c:f>
              <c:numCache>
                <c:formatCode>General</c:formatCode>
                <c:ptCount val="386"/>
                <c:pt idx="0">
                  <c:v>0</c:v>
                </c:pt>
                <c:pt idx="2">
                  <c:v>-1.0247500002151355E-2</c:v>
                </c:pt>
                <c:pt idx="3">
                  <c:v>-9.7929999974439852E-3</c:v>
                </c:pt>
                <c:pt idx="4">
                  <c:v>-1.0632500001520384E-2</c:v>
                </c:pt>
                <c:pt idx="5">
                  <c:v>-9.6630000043660402E-3</c:v>
                </c:pt>
                <c:pt idx="6">
                  <c:v>-9.6570000023348257E-3</c:v>
                </c:pt>
                <c:pt idx="7">
                  <c:v>-5.2150000046822242E-3</c:v>
                </c:pt>
                <c:pt idx="8">
                  <c:v>-1.051749999896856E-2</c:v>
                </c:pt>
                <c:pt idx="9">
                  <c:v>-1.0631000004650559E-2</c:v>
                </c:pt>
                <c:pt idx="10">
                  <c:v>-5.8460000000195578E-3</c:v>
                </c:pt>
                <c:pt idx="11">
                  <c:v>-8.5309999994933605E-3</c:v>
                </c:pt>
                <c:pt idx="13">
                  <c:v>-5.9990000008838251E-3</c:v>
                </c:pt>
                <c:pt idx="14">
                  <c:v>-4.7384999998030253E-3</c:v>
                </c:pt>
                <c:pt idx="15">
                  <c:v>-4.4945000045117922E-3</c:v>
                </c:pt>
                <c:pt idx="16">
                  <c:v>-4.3945000070380047E-3</c:v>
                </c:pt>
                <c:pt idx="17">
                  <c:v>-3.7030000021331944E-3</c:v>
                </c:pt>
                <c:pt idx="18">
                  <c:v>-2.8975000022910535E-3</c:v>
                </c:pt>
                <c:pt idx="19">
                  <c:v>-4.3660000010277145E-3</c:v>
                </c:pt>
                <c:pt idx="20">
                  <c:v>-3.0300000071292743E-4</c:v>
                </c:pt>
                <c:pt idx="21">
                  <c:v>-2.0520000034593977E-3</c:v>
                </c:pt>
                <c:pt idx="22">
                  <c:v>-3.1085000009625219E-3</c:v>
                </c:pt>
                <c:pt idx="23">
                  <c:v>1.6399999949499033E-3</c:v>
                </c:pt>
                <c:pt idx="24">
                  <c:v>1.2439999991329387E-3</c:v>
                </c:pt>
                <c:pt idx="25">
                  <c:v>2.2250000038184226E-3</c:v>
                </c:pt>
                <c:pt idx="26">
                  <c:v>2.8170000005047768E-3</c:v>
                </c:pt>
                <c:pt idx="27">
                  <c:v>9.5100000180536881E-4</c:v>
                </c:pt>
                <c:pt idx="28">
                  <c:v>1.9510000056470744E-3</c:v>
                </c:pt>
                <c:pt idx="29">
                  <c:v>7.1139998835860752E-3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E9-482A-97B8-FDE33BC6A7A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Active!$L$21:$L$46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E9-482A-97B8-FDE33BC6A7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Active!$M$21:$M$46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E9-482A-97B8-FDE33BC6A7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Active!$N$21:$N$46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E9-482A-97B8-FDE33BC6A7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7456.5</c:v>
                </c:pt>
                <c:pt idx="2">
                  <c:v>8567.5</c:v>
                </c:pt>
                <c:pt idx="3">
                  <c:v>8569</c:v>
                </c:pt>
                <c:pt idx="4">
                  <c:v>8572.5</c:v>
                </c:pt>
                <c:pt idx="5">
                  <c:v>8579</c:v>
                </c:pt>
                <c:pt idx="6">
                  <c:v>8581</c:v>
                </c:pt>
                <c:pt idx="7">
                  <c:v>8795</c:v>
                </c:pt>
                <c:pt idx="8">
                  <c:v>9177.5</c:v>
                </c:pt>
                <c:pt idx="9">
                  <c:v>9223</c:v>
                </c:pt>
                <c:pt idx="10">
                  <c:v>9808</c:v>
                </c:pt>
                <c:pt idx="11">
                  <c:v>9823</c:v>
                </c:pt>
                <c:pt idx="12">
                  <c:v>10431.5</c:v>
                </c:pt>
                <c:pt idx="13">
                  <c:v>10467</c:v>
                </c:pt>
                <c:pt idx="14">
                  <c:v>11080.5</c:v>
                </c:pt>
                <c:pt idx="15">
                  <c:v>12408.5</c:v>
                </c:pt>
                <c:pt idx="16">
                  <c:v>12408.5</c:v>
                </c:pt>
                <c:pt idx="17">
                  <c:v>12899</c:v>
                </c:pt>
                <c:pt idx="18">
                  <c:v>12917.5</c:v>
                </c:pt>
                <c:pt idx="19">
                  <c:v>13678</c:v>
                </c:pt>
                <c:pt idx="20">
                  <c:v>14199</c:v>
                </c:pt>
                <c:pt idx="21">
                  <c:v>14816</c:v>
                </c:pt>
                <c:pt idx="22">
                  <c:v>15410.5</c:v>
                </c:pt>
                <c:pt idx="23">
                  <c:v>15480</c:v>
                </c:pt>
                <c:pt idx="24">
                  <c:v>16048</c:v>
                </c:pt>
                <c:pt idx="25">
                  <c:v>17275</c:v>
                </c:pt>
              </c:numCache>
            </c:numRef>
          </c:xVal>
          <c:yVal>
            <c:numRef>
              <c:f>Active!$O$21:$O$46</c:f>
              <c:numCache>
                <c:formatCode>General</c:formatCode>
                <c:ptCount val="26"/>
                <c:pt idx="0">
                  <c:v>-2.048535835313688E-2</c:v>
                </c:pt>
                <c:pt idx="1">
                  <c:v>-1.0778107775478375E-2</c:v>
                </c:pt>
                <c:pt idx="2">
                  <c:v>-9.3317515236472741E-3</c:v>
                </c:pt>
                <c:pt idx="3">
                  <c:v>-9.3297987474296809E-3</c:v>
                </c:pt>
                <c:pt idx="4">
                  <c:v>-9.3252422695886284E-3</c:v>
                </c:pt>
                <c:pt idx="5">
                  <c:v>-9.3167802393123878E-3</c:v>
                </c:pt>
                <c:pt idx="6">
                  <c:v>-9.3141765376889302E-3</c:v>
                </c:pt>
                <c:pt idx="7">
                  <c:v>-9.0355804639788897E-3</c:v>
                </c:pt>
                <c:pt idx="8">
                  <c:v>-8.5376225284924841E-3</c:v>
                </c:pt>
                <c:pt idx="9">
                  <c:v>-8.4783883165588068E-3</c:v>
                </c:pt>
                <c:pt idx="10">
                  <c:v>-7.7168055916972469E-3</c:v>
                </c:pt>
                <c:pt idx="11">
                  <c:v>-7.6972778295213099E-3</c:v>
                </c:pt>
                <c:pt idx="12">
                  <c:v>-6.9051016105841131E-3</c:v>
                </c:pt>
                <c:pt idx="13">
                  <c:v>-6.8588859067677289E-3</c:v>
                </c:pt>
                <c:pt idx="14">
                  <c:v>-6.0602004337718864E-3</c:v>
                </c:pt>
                <c:pt idx="15">
                  <c:v>-4.3313425557955573E-3</c:v>
                </c:pt>
                <c:pt idx="16">
                  <c:v>-4.3313425557955573E-3</c:v>
                </c:pt>
                <c:pt idx="17">
                  <c:v>-3.6927847326424026E-3</c:v>
                </c:pt>
                <c:pt idx="18">
                  <c:v>-3.6687004926254131E-3</c:v>
                </c:pt>
                <c:pt idx="19">
                  <c:v>-2.6786429503053849E-3</c:v>
                </c:pt>
                <c:pt idx="20">
                  <c:v>-2.0003786773944918E-3</c:v>
                </c:pt>
                <c:pt idx="21">
                  <c:v>-1.1971367265575968E-3</c:v>
                </c:pt>
                <c:pt idx="22">
                  <c:v>-4.231864189846099E-4</c:v>
                </c:pt>
                <c:pt idx="23">
                  <c:v>-3.3270778756943481E-4</c:v>
                </c:pt>
                <c:pt idx="24">
                  <c:v>4.0674347349273221E-4</c:v>
                </c:pt>
                <c:pt idx="25">
                  <c:v>2.0041144194844138E-3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E9-482A-97B8-FDE33BC6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170744"/>
        <c:axId val="1"/>
      </c:scatterChart>
      <c:valAx>
        <c:axId val="80817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170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09774436090225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9FA29AF-D1A1-F95E-5723-2A3EEBABE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2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C2" s="4" t="s">
        <v>3</v>
      </c>
      <c r="D2" s="5"/>
    </row>
    <row r="4" spans="1:6" x14ac:dyDescent="0.2">
      <c r="A4" s="6" t="s">
        <v>4</v>
      </c>
      <c r="C4" s="7" t="s">
        <v>5</v>
      </c>
      <c r="D4" s="8" t="s">
        <v>5</v>
      </c>
    </row>
    <row r="5" spans="1:6" x14ac:dyDescent="0.2">
      <c r="A5" s="9" t="s">
        <v>6</v>
      </c>
      <c r="B5"/>
      <c r="C5" s="10">
        <v>-9.5</v>
      </c>
      <c r="D5" t="s">
        <v>7</v>
      </c>
    </row>
    <row r="6" spans="1:6" x14ac:dyDescent="0.2">
      <c r="A6" s="6" t="s">
        <v>8</v>
      </c>
      <c r="E6" s="57" t="s">
        <v>71</v>
      </c>
    </row>
    <row r="7" spans="1:6" x14ac:dyDescent="0.2">
      <c r="A7" s="1" t="s">
        <v>9</v>
      </c>
      <c r="C7" s="1">
        <v>48500.493000000002</v>
      </c>
      <c r="D7" s="1" t="s">
        <v>70</v>
      </c>
      <c r="E7" s="58">
        <v>52924.412100000001</v>
      </c>
    </row>
    <row r="8" spans="1:6" x14ac:dyDescent="0.2">
      <c r="A8" s="1" t="s">
        <v>10</v>
      </c>
      <c r="C8" s="1">
        <v>0.59329699999999996</v>
      </c>
      <c r="D8" s="1" t="s">
        <v>70</v>
      </c>
      <c r="E8" s="59">
        <v>0.59329308927904145</v>
      </c>
    </row>
    <row r="9" spans="1:6" x14ac:dyDescent="0.2">
      <c r="A9" s="11" t="s">
        <v>11</v>
      </c>
      <c r="B9" s="12">
        <v>23</v>
      </c>
      <c r="C9" s="13" t="str">
        <f>"F"&amp;B9</f>
        <v>F23</v>
      </c>
      <c r="D9" s="14" t="str">
        <f>"G"&amp;B9</f>
        <v>G23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INTERCEPT(INDIRECT($D$9):G990,INDIRECT($C$9):F990)</f>
        <v>-2.048535835313688E-2</v>
      </c>
      <c r="D11" s="5"/>
      <c r="E11"/>
    </row>
    <row r="12" spans="1:6" x14ac:dyDescent="0.2">
      <c r="A12" t="s">
        <v>15</v>
      </c>
      <c r="B12"/>
      <c r="C12" s="16">
        <f ca="1">SLOPE(INDIRECT($D$9):G990,INDIRECT($C$9):F990)</f>
        <v>1.3018508117291632E-6</v>
      </c>
      <c r="D12" s="5"/>
      <c r="E12" s="51" t="s">
        <v>69</v>
      </c>
      <c r="F12" s="52" t="s">
        <v>68</v>
      </c>
    </row>
    <row r="13" spans="1:6" x14ac:dyDescent="0.2">
      <c r="A13" t="s">
        <v>16</v>
      </c>
      <c r="B13"/>
      <c r="C13" s="5" t="s">
        <v>17</v>
      </c>
      <c r="E13" s="49" t="s">
        <v>19</v>
      </c>
      <c r="F13" s="53">
        <v>1</v>
      </c>
    </row>
    <row r="14" spans="1:6" x14ac:dyDescent="0.2">
      <c r="A14"/>
      <c r="B14"/>
      <c r="C14"/>
      <c r="E14" s="49" t="s">
        <v>21</v>
      </c>
      <c r="F14" s="54">
        <f ca="1">NOW()+15018.5+$C$5/24</f>
        <v>60682.832567476849</v>
      </c>
    </row>
    <row r="15" spans="1:6" x14ac:dyDescent="0.2">
      <c r="A15" s="17" t="s">
        <v>18</v>
      </c>
      <c r="B15"/>
      <c r="C15" s="18">
        <f ca="1">(C7+C11)+(C8+C12)*INT(MAX(F21:F3531))</f>
        <v>60270.32422675805</v>
      </c>
      <c r="E15" s="49" t="s">
        <v>23</v>
      </c>
      <c r="F15" s="54">
        <f ca="1">ROUND(2*($F$14-$C$7)/$C$8,0)/2+$F$13</f>
        <v>20534.5</v>
      </c>
    </row>
    <row r="16" spans="1:6" x14ac:dyDescent="0.2">
      <c r="A16" s="17" t="s">
        <v>20</v>
      </c>
      <c r="B16"/>
      <c r="C16" s="18">
        <f ca="1">+C8+C12</f>
        <v>0.59329830185081167</v>
      </c>
      <c r="E16" s="49" t="s">
        <v>25</v>
      </c>
      <c r="F16" s="54">
        <f ca="1">ROUND(2*($F$14-$C$15)/$C$16,0)/2+$F$13</f>
        <v>696.5</v>
      </c>
    </row>
    <row r="17" spans="1:17" x14ac:dyDescent="0.2">
      <c r="A17" s="11" t="s">
        <v>22</v>
      </c>
      <c r="B17"/>
      <c r="C17">
        <f>COUNT(C21:C2189)</f>
        <v>30</v>
      </c>
      <c r="E17" s="49" t="s">
        <v>66</v>
      </c>
      <c r="F17" s="55">
        <f ca="1">+$C$15+$C$16*$F$16-15018.5-$C$5/24</f>
        <v>45665.452327330473</v>
      </c>
    </row>
    <row r="18" spans="1:17" x14ac:dyDescent="0.2">
      <c r="A18" s="17" t="s">
        <v>24</v>
      </c>
      <c r="B18"/>
      <c r="C18" s="19">
        <f ca="1">+C15</f>
        <v>60270.32422675805</v>
      </c>
      <c r="D18" s="48">
        <f ca="1">+C16</f>
        <v>0.59329830185081167</v>
      </c>
      <c r="E18" s="50" t="s">
        <v>67</v>
      </c>
      <c r="F18" s="56">
        <f ca="1">+($C$15+$C$16*$F$16)-($C$16/2)-15018.5-$C$5/24</f>
        <v>45665.155678179544</v>
      </c>
    </row>
    <row r="19" spans="1:17" x14ac:dyDescent="0.2">
      <c r="E19" s="11"/>
      <c r="F19" s="20"/>
    </row>
    <row r="20" spans="1:17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5" t="s">
        <v>42</v>
      </c>
    </row>
    <row r="21" spans="1:17" x14ac:dyDescent="0.2">
      <c r="A21" s="60" t="s">
        <v>70</v>
      </c>
      <c r="C21" s="61">
        <v>48500.493000000002</v>
      </c>
      <c r="E21" s="28">
        <f>+(C21-C$7)/C$8</f>
        <v>0</v>
      </c>
      <c r="F21" s="1">
        <f>ROUND(2*E21,0)/2</f>
        <v>0</v>
      </c>
      <c r="G21" s="1">
        <f>+C21-(C$7+F21*C$8)</f>
        <v>0</v>
      </c>
      <c r="K21" s="1">
        <f>+G21</f>
        <v>0</v>
      </c>
      <c r="O21" s="1">
        <f ca="1">+C$11+C$12*$F21</f>
        <v>-2.048535835313688E-2</v>
      </c>
      <c r="Q21" s="25">
        <f>+C21-15018.5</f>
        <v>33481.993000000002</v>
      </c>
    </row>
    <row r="22" spans="1:17" x14ac:dyDescent="0.2">
      <c r="A22" s="22" t="s">
        <v>43</v>
      </c>
      <c r="B22" s="23" t="s">
        <v>44</v>
      </c>
      <c r="C22" s="24">
        <v>52924.412100000001</v>
      </c>
      <c r="D22" s="24">
        <v>2.0000000000000001E-4</v>
      </c>
      <c r="E22" s="1">
        <f>+(C22-C$7)/C$8</f>
        <v>7456.5000328671804</v>
      </c>
      <c r="F22" s="1">
        <f>ROUND(2*E22,0)/2</f>
        <v>7456.5</v>
      </c>
      <c r="G22" s="1">
        <f>+C22-(C$7+F22*C$8)</f>
        <v>1.9500002963468432E-5</v>
      </c>
      <c r="J22" s="1">
        <f>+G22</f>
        <v>1.9500002963468432E-5</v>
      </c>
      <c r="O22" s="1">
        <f ca="1">+C$11+C$12*$F22</f>
        <v>-1.0778107775478375E-2</v>
      </c>
      <c r="Q22" s="25">
        <f>+C22-15018.5</f>
        <v>37905.912100000001</v>
      </c>
    </row>
    <row r="23" spans="1:17" x14ac:dyDescent="0.2">
      <c r="A23" s="26" t="s">
        <v>45</v>
      </c>
      <c r="B23" s="27" t="s">
        <v>44</v>
      </c>
      <c r="C23" s="26">
        <v>53583.554799999998</v>
      </c>
      <c r="D23" s="26">
        <v>2.9999999999999997E-4</v>
      </c>
      <c r="E23" s="28">
        <f>+(C23-C$7)/C$8</f>
        <v>8567.4827278749035</v>
      </c>
      <c r="F23" s="1">
        <f>ROUND(2*E23,0)/2</f>
        <v>8567.5</v>
      </c>
      <c r="G23" s="1">
        <f>+C23-(C$7+F23*C$8)</f>
        <v>-1.0247500002151355E-2</v>
      </c>
      <c r="K23" s="1">
        <f>+G23</f>
        <v>-1.0247500002151355E-2</v>
      </c>
      <c r="O23" s="1">
        <f ca="1">+C$11+C$12*$F23</f>
        <v>-9.3317515236472741E-3</v>
      </c>
      <c r="Q23" s="25">
        <f>+C23-15018.5</f>
        <v>38565.054799999998</v>
      </c>
    </row>
    <row r="24" spans="1:17" x14ac:dyDescent="0.2">
      <c r="A24" s="26" t="s">
        <v>45</v>
      </c>
      <c r="B24" s="27" t="s">
        <v>46</v>
      </c>
      <c r="C24" s="26">
        <v>53584.445200000002</v>
      </c>
      <c r="D24" s="26">
        <v>2.9999999999999997E-4</v>
      </c>
      <c r="E24" s="28">
        <f>+(C24-C$7)/C$8</f>
        <v>8568.9834939330558</v>
      </c>
      <c r="F24" s="1">
        <f>ROUND(2*E24,0)/2</f>
        <v>8569</v>
      </c>
      <c r="G24" s="1">
        <f>+C24-(C$7+F24*C$8)</f>
        <v>-9.7929999974439852E-3</v>
      </c>
      <c r="K24" s="1">
        <f>+G24</f>
        <v>-9.7929999974439852E-3</v>
      </c>
      <c r="O24" s="1">
        <f ca="1">+C$11+C$12*$F24</f>
        <v>-9.3297987474296809E-3</v>
      </c>
      <c r="Q24" s="25">
        <f>+C24-15018.5</f>
        <v>38565.945200000002</v>
      </c>
    </row>
    <row r="25" spans="1:17" x14ac:dyDescent="0.2">
      <c r="A25" s="26" t="s">
        <v>45</v>
      </c>
      <c r="B25" s="27" t="s">
        <v>44</v>
      </c>
      <c r="C25" s="26">
        <v>53586.520900000003</v>
      </c>
      <c r="D25" s="26">
        <v>2.9999999999999997E-4</v>
      </c>
      <c r="E25" s="28">
        <f>+(C25-C$7)/C$8</f>
        <v>8572.4820789587702</v>
      </c>
      <c r="F25" s="1">
        <f>ROUND(2*E25,0)/2</f>
        <v>8572.5</v>
      </c>
      <c r="G25" s="1">
        <f>+C25-(C$7+F25*C$8)</f>
        <v>-1.0632500001520384E-2</v>
      </c>
      <c r="K25" s="1">
        <f>+G25</f>
        <v>-1.0632500001520384E-2</v>
      </c>
      <c r="O25" s="1">
        <f ca="1">+C$11+C$12*$F25</f>
        <v>-9.3252422695886284E-3</v>
      </c>
      <c r="Q25" s="25">
        <f>+C25-15018.5</f>
        <v>38568.020900000003</v>
      </c>
    </row>
    <row r="26" spans="1:17" x14ac:dyDescent="0.2">
      <c r="A26" s="26" t="s">
        <v>45</v>
      </c>
      <c r="B26" s="27" t="s">
        <v>46</v>
      </c>
      <c r="C26" s="26">
        <v>53590.378299999997</v>
      </c>
      <c r="D26" s="26">
        <v>4.0000000000000002E-4</v>
      </c>
      <c r="E26" s="28">
        <f>+(C26-C$7)/C$8</f>
        <v>8578.983713047588</v>
      </c>
      <c r="F26" s="1">
        <f>ROUND(2*E26,0)/2</f>
        <v>8579</v>
      </c>
      <c r="G26" s="1">
        <f>+C26-(C$7+F26*C$8)</f>
        <v>-9.6630000043660402E-3</v>
      </c>
      <c r="K26" s="1">
        <f>+G26</f>
        <v>-9.6630000043660402E-3</v>
      </c>
      <c r="O26" s="1">
        <f ca="1">+C$11+C$12*$F26</f>
        <v>-9.3167802393123878E-3</v>
      </c>
      <c r="Q26" s="25">
        <f>+C26-15018.5</f>
        <v>38571.878299999997</v>
      </c>
    </row>
    <row r="27" spans="1:17" x14ac:dyDescent="0.2">
      <c r="A27" s="26" t="s">
        <v>45</v>
      </c>
      <c r="B27" s="27" t="s">
        <v>46</v>
      </c>
      <c r="C27" s="26">
        <v>53591.564899999998</v>
      </c>
      <c r="D27" s="26">
        <v>2.9999999999999997E-4</v>
      </c>
      <c r="E27" s="28">
        <f>+(C27-C$7)/C$8</f>
        <v>8580.9837231605688</v>
      </c>
      <c r="F27" s="1">
        <f>ROUND(2*E27,0)/2</f>
        <v>8581</v>
      </c>
      <c r="G27" s="1">
        <f>+C27-(C$7+F27*C$8)</f>
        <v>-9.6570000023348257E-3</v>
      </c>
      <c r="K27" s="1">
        <f>+G27</f>
        <v>-9.6570000023348257E-3</v>
      </c>
      <c r="O27" s="1">
        <f ca="1">+C$11+C$12*$F27</f>
        <v>-9.3141765376889302E-3</v>
      </c>
      <c r="Q27" s="25">
        <f>+C27-15018.5</f>
        <v>38573.064899999998</v>
      </c>
    </row>
    <row r="28" spans="1:17" x14ac:dyDescent="0.2">
      <c r="A28" s="22" t="s">
        <v>47</v>
      </c>
      <c r="B28" s="29" t="s">
        <v>46</v>
      </c>
      <c r="C28" s="30">
        <v>53718.534899999999</v>
      </c>
      <c r="D28" s="30">
        <v>1E-4</v>
      </c>
      <c r="E28" s="1">
        <f>+(C28-C$7)/C$8</f>
        <v>8794.9912101358968</v>
      </c>
      <c r="F28" s="1">
        <f>ROUND(2*E28,0)/2</f>
        <v>8795</v>
      </c>
      <c r="G28" s="1">
        <f>+C28-(C$7+F28*C$8)</f>
        <v>-5.2150000046822242E-3</v>
      </c>
      <c r="K28" s="1">
        <f>+G28</f>
        <v>-5.2150000046822242E-3</v>
      </c>
      <c r="O28" s="1">
        <f ca="1">+C$11+C$12*$F28</f>
        <v>-9.0355804639788897E-3</v>
      </c>
      <c r="Q28" s="25">
        <f>+C28-15018.5</f>
        <v>38700.034899999999</v>
      </c>
    </row>
    <row r="29" spans="1:17" x14ac:dyDescent="0.2">
      <c r="A29" s="22" t="s">
        <v>48</v>
      </c>
      <c r="B29" s="31" t="s">
        <v>44</v>
      </c>
      <c r="C29" s="22">
        <v>53945.465700000001</v>
      </c>
      <c r="D29" s="22">
        <v>1E-4</v>
      </c>
      <c r="E29" s="1">
        <f>+(C29-C$7)/C$8</f>
        <v>9177.4822727908595</v>
      </c>
      <c r="F29" s="1">
        <f>ROUND(2*E29,0)/2</f>
        <v>9177.5</v>
      </c>
      <c r="G29" s="1">
        <f>+C29-(C$7+F29*C$8)</f>
        <v>-1.051749999896856E-2</v>
      </c>
      <c r="K29" s="1">
        <f>+G29</f>
        <v>-1.051749999896856E-2</v>
      </c>
      <c r="O29" s="1">
        <f ca="1">+C$11+C$12*$F29</f>
        <v>-8.5376225284924841E-3</v>
      </c>
      <c r="Q29" s="25">
        <f>+C29-15018.5</f>
        <v>38926.965700000001</v>
      </c>
    </row>
    <row r="30" spans="1:17" x14ac:dyDescent="0.2">
      <c r="A30" s="22" t="s">
        <v>49</v>
      </c>
      <c r="B30" s="31" t="s">
        <v>46</v>
      </c>
      <c r="C30" s="22">
        <v>53972.460599999999</v>
      </c>
      <c r="D30" s="22">
        <v>1E-3</v>
      </c>
      <c r="E30" s="1">
        <f>+(C30-C$7)/C$8</f>
        <v>9222.9820814870072</v>
      </c>
      <c r="F30" s="1">
        <f>ROUND(2*E30,0)/2</f>
        <v>9223</v>
      </c>
      <c r="G30" s="1">
        <f>+C30-(C$7+F30*C$8)</f>
        <v>-1.0631000004650559E-2</v>
      </c>
      <c r="K30" s="1">
        <f>+G30</f>
        <v>-1.0631000004650559E-2</v>
      </c>
      <c r="O30" s="1">
        <f ca="1">+C$11+C$12*$F30</f>
        <v>-8.4783883165588068E-3</v>
      </c>
      <c r="Q30" s="25">
        <f>+C30-15018.5</f>
        <v>38953.960599999999</v>
      </c>
    </row>
    <row r="31" spans="1:17" x14ac:dyDescent="0.2">
      <c r="A31" s="32" t="s">
        <v>50</v>
      </c>
      <c r="B31" s="27" t="s">
        <v>46</v>
      </c>
      <c r="C31" s="26">
        <v>54319.544130000002</v>
      </c>
      <c r="D31" s="26">
        <v>2.0000000000000001E-4</v>
      </c>
      <c r="E31" s="1">
        <f>+(C31-C$7)/C$8</f>
        <v>9807.9901465876283</v>
      </c>
      <c r="F31" s="1">
        <f>ROUND(2*E31,0)/2</f>
        <v>9808</v>
      </c>
      <c r="G31" s="1">
        <f>+C31-(C$7+F31*C$8)</f>
        <v>-5.8460000000195578E-3</v>
      </c>
      <c r="K31" s="1">
        <f>+G31</f>
        <v>-5.8460000000195578E-3</v>
      </c>
      <c r="O31" s="1">
        <f ca="1">+C$11+C$12*$F31</f>
        <v>-7.7168055916972469E-3</v>
      </c>
      <c r="Q31" s="25">
        <f>+C31-15018.5</f>
        <v>39301.044130000002</v>
      </c>
    </row>
    <row r="32" spans="1:17" x14ac:dyDescent="0.2">
      <c r="A32" s="22" t="s">
        <v>49</v>
      </c>
      <c r="B32" s="31" t="s">
        <v>46</v>
      </c>
      <c r="C32" s="22">
        <v>54328.440900000001</v>
      </c>
      <c r="D32" s="22">
        <v>2.0000000000000001E-4</v>
      </c>
      <c r="E32" s="28">
        <f>+(C32-C$7)/C$8</f>
        <v>9822.985621029602</v>
      </c>
      <c r="F32" s="1">
        <f>ROUND(2*E32,0)/2</f>
        <v>9823</v>
      </c>
      <c r="G32" s="1">
        <f>+C32-(C$7+F32*C$8)</f>
        <v>-8.5309999994933605E-3</v>
      </c>
      <c r="K32" s="1">
        <f>+G32</f>
        <v>-8.5309999994933605E-3</v>
      </c>
      <c r="O32" s="1">
        <f ca="1">+C$11+C$12*$F32</f>
        <v>-7.6972778295213099E-3</v>
      </c>
      <c r="Q32" s="25">
        <f>+C32-15018.5</f>
        <v>39309.940900000001</v>
      </c>
    </row>
    <row r="33" spans="1:17" x14ac:dyDescent="0.2">
      <c r="A33" s="26" t="s">
        <v>51</v>
      </c>
      <c r="B33" s="27" t="s">
        <v>44</v>
      </c>
      <c r="C33" s="26">
        <v>54689.465499999998</v>
      </c>
      <c r="D33" s="26">
        <v>4.0000000000000002E-4</v>
      </c>
      <c r="E33" s="28">
        <f>+(C33-C$7)/C$8</f>
        <v>10431.491310422936</v>
      </c>
      <c r="F33" s="1">
        <f>ROUND(2*E33,0)/2</f>
        <v>10431.5</v>
      </c>
      <c r="G33" s="1">
        <f>+C33-(C$7+F33*C$8)</f>
        <v>-5.1555000027292408E-3</v>
      </c>
      <c r="J33" s="1">
        <f>+G33</f>
        <v>-5.1555000027292408E-3</v>
      </c>
      <c r="O33" s="1">
        <f ca="1">+C$11+C$12*$F33</f>
        <v>-6.9051016105841131E-3</v>
      </c>
      <c r="Q33" s="25">
        <f>+C33-15018.5</f>
        <v>39670.965499999998</v>
      </c>
    </row>
    <row r="34" spans="1:17" x14ac:dyDescent="0.2">
      <c r="A34" s="22" t="s">
        <v>49</v>
      </c>
      <c r="B34" s="31" t="s">
        <v>46</v>
      </c>
      <c r="C34" s="22">
        <v>54710.526700000002</v>
      </c>
      <c r="D34" s="22">
        <v>4.0000000000000002E-4</v>
      </c>
      <c r="E34" s="28">
        <f>+(C34-C$7)/C$8</f>
        <v>10466.989888706668</v>
      </c>
      <c r="F34" s="1">
        <f>ROUND(2*E34,0)/2</f>
        <v>10467</v>
      </c>
      <c r="G34" s="1">
        <f>+C34-(C$7+F34*C$8)</f>
        <v>-5.9990000008838251E-3</v>
      </c>
      <c r="K34" s="1">
        <f>+G34</f>
        <v>-5.9990000008838251E-3</v>
      </c>
      <c r="O34" s="1">
        <f ca="1">+C$11+C$12*$F34</f>
        <v>-6.8588859067677289E-3</v>
      </c>
      <c r="Q34" s="25">
        <f>+C34-15018.5</f>
        <v>39692.026700000002</v>
      </c>
    </row>
    <row r="35" spans="1:17" x14ac:dyDescent="0.2">
      <c r="A35" s="32" t="s">
        <v>52</v>
      </c>
      <c r="B35" s="27" t="s">
        <v>44</v>
      </c>
      <c r="C35" s="26">
        <v>55074.515670000001</v>
      </c>
      <c r="D35" s="26">
        <v>4.0000000000000002E-4</v>
      </c>
      <c r="E35" s="28">
        <f>+(C35-C$7)/C$8</f>
        <v>11080.492013274968</v>
      </c>
      <c r="F35" s="1">
        <f>ROUND(2*E35,0)/2</f>
        <v>11080.5</v>
      </c>
      <c r="G35" s="1">
        <f>+C35-(C$7+F35*C$8)</f>
        <v>-4.7384999998030253E-3</v>
      </c>
      <c r="K35" s="1">
        <f>+G35</f>
        <v>-4.7384999998030253E-3</v>
      </c>
      <c r="O35" s="1">
        <f ca="1">+C$11+C$12*$F35</f>
        <v>-6.0602004337718864E-3</v>
      </c>
      <c r="Q35" s="25">
        <f>+C35-15018.5</f>
        <v>40056.015670000001</v>
      </c>
    </row>
    <row r="36" spans="1:17" x14ac:dyDescent="0.2">
      <c r="A36" s="32" t="s">
        <v>53</v>
      </c>
      <c r="B36" s="27" t="s">
        <v>44</v>
      </c>
      <c r="C36" s="26">
        <v>55862.41433</v>
      </c>
      <c r="D36" s="26">
        <v>4.0000000000000002E-4</v>
      </c>
      <c r="E36" s="28">
        <f>+(C36-C$7)/C$8</f>
        <v>12408.492424536105</v>
      </c>
      <c r="F36" s="1">
        <f>ROUND(2*E36,0)/2</f>
        <v>12408.5</v>
      </c>
      <c r="G36" s="1">
        <f>+C36-(C$7+F36*C$8)</f>
        <v>-4.4945000045117922E-3</v>
      </c>
      <c r="K36" s="1">
        <f>+G36</f>
        <v>-4.4945000045117922E-3</v>
      </c>
      <c r="O36" s="1">
        <f ca="1">+C$11+C$12*$F36</f>
        <v>-4.3313425557955573E-3</v>
      </c>
      <c r="Q36" s="25">
        <f>+C36-15018.5</f>
        <v>40843.91433</v>
      </c>
    </row>
    <row r="37" spans="1:17" x14ac:dyDescent="0.2">
      <c r="A37" s="32" t="s">
        <v>53</v>
      </c>
      <c r="B37" s="27" t="s">
        <v>44</v>
      </c>
      <c r="C37" s="26">
        <v>55862.414429999997</v>
      </c>
      <c r="D37" s="26">
        <v>4.0000000000000002E-4</v>
      </c>
      <c r="E37" s="28">
        <f>+(C37-C$7)/C$8</f>
        <v>12408.492593085748</v>
      </c>
      <c r="F37" s="1">
        <f>ROUND(2*E37,0)/2</f>
        <v>12408.5</v>
      </c>
      <c r="G37" s="1">
        <f>+C37-(C$7+F37*C$8)</f>
        <v>-4.3945000070380047E-3</v>
      </c>
      <c r="K37" s="1">
        <f>+G37</f>
        <v>-4.3945000070380047E-3</v>
      </c>
      <c r="O37" s="1">
        <f ca="1">+C$11+C$12*$F37</f>
        <v>-4.3313425557955573E-3</v>
      </c>
      <c r="Q37" s="25">
        <f>+C37-15018.5</f>
        <v>40843.914429999997</v>
      </c>
    </row>
    <row r="38" spans="1:17" x14ac:dyDescent="0.2">
      <c r="A38" s="32" t="s">
        <v>53</v>
      </c>
      <c r="B38" s="27" t="s">
        <v>46</v>
      </c>
      <c r="C38" s="26">
        <v>56153.427300000003</v>
      </c>
      <c r="D38" s="26">
        <v>1E-4</v>
      </c>
      <c r="E38" s="28">
        <f>+(C38-C$7)/C$8</f>
        <v>12898.993758606568</v>
      </c>
      <c r="F38" s="1">
        <f>ROUND(2*E38,0)/2</f>
        <v>12899</v>
      </c>
      <c r="G38" s="1">
        <f>+C38-(C$7+F38*C$8)</f>
        <v>-3.7030000021331944E-3</v>
      </c>
      <c r="K38" s="1">
        <f>+G38</f>
        <v>-3.7030000021331944E-3</v>
      </c>
      <c r="O38" s="1">
        <f ca="1">+C$11+C$12*$F38</f>
        <v>-3.6927847326424026E-3</v>
      </c>
      <c r="Q38" s="25">
        <f>+C38-15018.5</f>
        <v>41134.927300000003</v>
      </c>
    </row>
    <row r="39" spans="1:17" x14ac:dyDescent="0.2">
      <c r="A39" s="32" t="s">
        <v>54</v>
      </c>
      <c r="B39" s="29" t="s">
        <v>44</v>
      </c>
      <c r="C39" s="30">
        <v>56164.4041</v>
      </c>
      <c r="D39" s="30">
        <v>4.0000000000000002E-4</v>
      </c>
      <c r="E39" s="28">
        <f>+(C39-C$7)/C$8</f>
        <v>12917.495116273971</v>
      </c>
      <c r="F39" s="1">
        <f>ROUND(2*E39,0)/2</f>
        <v>12917.5</v>
      </c>
      <c r="G39" s="1">
        <f>+C39-(C$7+F39*C$8)</f>
        <v>-2.8975000022910535E-3</v>
      </c>
      <c r="K39" s="1">
        <f>+G39</f>
        <v>-2.8975000022910535E-3</v>
      </c>
      <c r="O39" s="1">
        <f ca="1">+C$11+C$12*$F39</f>
        <v>-3.6687004926254131E-3</v>
      </c>
      <c r="Q39" s="25">
        <f>+C39-15018.5</f>
        <v>41145.9041</v>
      </c>
    </row>
    <row r="40" spans="1:17" x14ac:dyDescent="0.2">
      <c r="A40" s="32" t="s">
        <v>55</v>
      </c>
      <c r="B40" s="27" t="s">
        <v>46</v>
      </c>
      <c r="C40" s="26">
        <v>56615.605000000003</v>
      </c>
      <c r="D40" s="26">
        <v>2.9999999999999997E-4</v>
      </c>
      <c r="E40" s="28">
        <f>+(C40-C$7)/C$8</f>
        <v>13677.992641122408</v>
      </c>
      <c r="F40" s="1">
        <f>ROUND(2*E40,0)/2</f>
        <v>13678</v>
      </c>
      <c r="G40" s="1">
        <f>+C40-(C$7+F40*C$8)</f>
        <v>-4.3660000010277145E-3</v>
      </c>
      <c r="K40" s="1">
        <f>+G40</f>
        <v>-4.3660000010277145E-3</v>
      </c>
      <c r="O40" s="1">
        <f ca="1">+C$11+C$12*$F40</f>
        <v>-2.6786429503053849E-3</v>
      </c>
      <c r="Q40" s="25">
        <f>+C40-15018.5</f>
        <v>41597.105000000003</v>
      </c>
    </row>
    <row r="41" spans="1:17" x14ac:dyDescent="0.2">
      <c r="A41" s="33" t="s">
        <v>56</v>
      </c>
      <c r="B41" s="34" t="s">
        <v>46</v>
      </c>
      <c r="C41" s="35">
        <v>56924.716800000002</v>
      </c>
      <c r="D41" s="35">
        <v>2.0000000000000001E-4</v>
      </c>
      <c r="E41" s="28">
        <f>+(C41-C$7)/C$8</f>
        <v>14198.999489294569</v>
      </c>
      <c r="F41" s="1">
        <f>ROUND(2*E41,0)/2</f>
        <v>14199</v>
      </c>
      <c r="G41" s="1">
        <f>+C41-(C$7+F41*C$8)</f>
        <v>-3.0300000071292743E-4</v>
      </c>
      <c r="K41" s="1">
        <f>+G41</f>
        <v>-3.0300000071292743E-4</v>
      </c>
      <c r="O41" s="1">
        <f ca="1">+C$11+C$12*$F41</f>
        <v>-2.0003786773944918E-3</v>
      </c>
      <c r="Q41" s="25">
        <f>+C41-15018.5</f>
        <v>41906.216800000002</v>
      </c>
    </row>
    <row r="42" spans="1:17" x14ac:dyDescent="0.2">
      <c r="A42" s="33" t="s">
        <v>56</v>
      </c>
      <c r="B42" s="34" t="s">
        <v>46</v>
      </c>
      <c r="C42" s="35">
        <v>57290.779300000002</v>
      </c>
      <c r="D42" s="35">
        <v>2.0000000000000001E-4</v>
      </c>
      <c r="E42" s="28">
        <f>+(C42-C$7)/C$8</f>
        <v>14815.996541361241</v>
      </c>
      <c r="F42" s="1">
        <f>ROUND(2*E42,0)/2</f>
        <v>14816</v>
      </c>
      <c r="G42" s="1">
        <f>+C42-(C$7+F42*C$8)</f>
        <v>-2.0520000034593977E-3</v>
      </c>
      <c r="K42" s="1">
        <f>+G42</f>
        <v>-2.0520000034593977E-3</v>
      </c>
      <c r="O42" s="1">
        <f ca="1">+C$11+C$12*$F42</f>
        <v>-1.1971367265575968E-3</v>
      </c>
      <c r="Q42" s="25">
        <f>+C42-15018.5</f>
        <v>42272.279300000002</v>
      </c>
    </row>
    <row r="43" spans="1:17" x14ac:dyDescent="0.2">
      <c r="A43" s="36" t="s">
        <v>57</v>
      </c>
      <c r="B43" s="37" t="s">
        <v>44</v>
      </c>
      <c r="C43" s="38">
        <v>57643.493309999998</v>
      </c>
      <c r="D43" s="38">
        <v>2.5000000000000001E-3</v>
      </c>
      <c r="E43" s="28">
        <f>+(C43-C$7)/C$8</f>
        <v>15410.494760634212</v>
      </c>
      <c r="F43" s="1">
        <f>ROUND(2*E43,0)/2</f>
        <v>15410.5</v>
      </c>
      <c r="G43" s="1">
        <f>+C43-(C$7+F43*C$8)</f>
        <v>-3.1085000009625219E-3</v>
      </c>
      <c r="K43" s="1">
        <f>+G43</f>
        <v>-3.1085000009625219E-3</v>
      </c>
      <c r="O43" s="1">
        <f ca="1">+C$11+C$12*$F43</f>
        <v>-4.231864189846099E-4</v>
      </c>
      <c r="Q43" s="25">
        <f>+C43-15018.5</f>
        <v>42624.993309999998</v>
      </c>
    </row>
    <row r="44" spans="1:17" x14ac:dyDescent="0.2">
      <c r="A44" s="33" t="s">
        <v>58</v>
      </c>
      <c r="B44" s="34" t="s">
        <v>46</v>
      </c>
      <c r="C44" s="35">
        <v>57684.732199999999</v>
      </c>
      <c r="D44" s="35">
        <v>2.0000000000000001E-4</v>
      </c>
      <c r="E44" s="28">
        <f>+(C44-C$7)/C$8</f>
        <v>15480.002764214209</v>
      </c>
      <c r="F44" s="1">
        <f>ROUND(2*E44,0)/2</f>
        <v>15480</v>
      </c>
      <c r="G44" s="1">
        <f>+C44-(C$7+F44*C$8)</f>
        <v>1.6399999949499033E-3</v>
      </c>
      <c r="K44" s="1">
        <f>+G44</f>
        <v>1.6399999949499033E-3</v>
      </c>
      <c r="O44" s="1">
        <f ca="1">+C$11+C$12*$F44</f>
        <v>-3.3270778756943481E-4</v>
      </c>
      <c r="Q44" s="25">
        <f>+C44-15018.5</f>
        <v>42666.232199999999</v>
      </c>
    </row>
    <row r="45" spans="1:17" x14ac:dyDescent="0.2">
      <c r="A45" s="39" t="s">
        <v>59</v>
      </c>
      <c r="B45" s="40" t="s">
        <v>46</v>
      </c>
      <c r="C45" s="41">
        <v>58021.724499999997</v>
      </c>
      <c r="D45" s="41">
        <v>2.0000000000000001E-4</v>
      </c>
      <c r="E45" s="28">
        <f>+(C45-C$7)/C$8</f>
        <v>16048.002096757602</v>
      </c>
      <c r="F45" s="1">
        <f>ROUND(2*E45,0)/2</f>
        <v>16048</v>
      </c>
      <c r="G45" s="1">
        <f>+C45-(C$7+F45*C$8)</f>
        <v>1.2439999991329387E-3</v>
      </c>
      <c r="K45" s="1">
        <f>+G45</f>
        <v>1.2439999991329387E-3</v>
      </c>
      <c r="O45" s="1">
        <f ca="1">+C$11+C$12*$F45</f>
        <v>4.0674347349273221E-4</v>
      </c>
      <c r="Q45" s="25">
        <f>+C45-15018.5</f>
        <v>43003.224499999997</v>
      </c>
    </row>
    <row r="46" spans="1:17" ht="12" customHeight="1" x14ac:dyDescent="0.2">
      <c r="A46" s="42" t="s">
        <v>60</v>
      </c>
      <c r="B46" s="43" t="s">
        <v>46</v>
      </c>
      <c r="C46" s="44">
        <v>58749.700900000003</v>
      </c>
      <c r="D46" s="44">
        <v>2.0000000000000001E-4</v>
      </c>
      <c r="E46" s="28">
        <f>+(C46-C$7)/C$8</f>
        <v>17275.003750229651</v>
      </c>
      <c r="F46" s="1">
        <f>ROUND(2*E46,0)/2</f>
        <v>17275</v>
      </c>
      <c r="G46" s="1">
        <f>+C46-(C$7+F46*C$8)</f>
        <v>2.2250000038184226E-3</v>
      </c>
      <c r="K46" s="1">
        <f>+G46</f>
        <v>2.2250000038184226E-3</v>
      </c>
      <c r="O46" s="1">
        <f ca="1">+C$11+C$12*$F46</f>
        <v>2.0041144194844138E-3</v>
      </c>
      <c r="Q46" s="25">
        <f>+C46-15018.5</f>
        <v>43731.200900000003</v>
      </c>
    </row>
    <row r="47" spans="1:17" ht="12" customHeight="1" x14ac:dyDescent="0.2">
      <c r="A47" s="39" t="s">
        <v>64</v>
      </c>
      <c r="B47" s="40" t="s">
        <v>46</v>
      </c>
      <c r="C47" s="41">
        <v>59143.650699999998</v>
      </c>
      <c r="D47" s="41">
        <v>1E-4</v>
      </c>
      <c r="E47" s="28">
        <f>+(C47-C$7)/C$8</f>
        <v>17939.004748043553</v>
      </c>
      <c r="F47" s="1">
        <f>ROUND(2*E47,0)/2</f>
        <v>17939</v>
      </c>
      <c r="G47" s="1">
        <f>+C47-(C$7+F47*C$8)</f>
        <v>2.8170000005047768E-3</v>
      </c>
      <c r="K47" s="1">
        <f>+G47</f>
        <v>2.8170000005047768E-3</v>
      </c>
      <c r="O47" s="1">
        <f ca="1">+C$11+C$12*$F47</f>
        <v>2.8685433584725792E-3</v>
      </c>
      <c r="Q47" s="25">
        <f>+C47-15018.5</f>
        <v>44125.150699999998</v>
      </c>
    </row>
    <row r="48" spans="1:17" ht="12" customHeight="1" x14ac:dyDescent="0.2">
      <c r="A48" s="42" t="s">
        <v>61</v>
      </c>
      <c r="B48" s="43" t="s">
        <v>46</v>
      </c>
      <c r="C48" s="44">
        <v>59189.925999999999</v>
      </c>
      <c r="D48" s="44" t="s">
        <v>62</v>
      </c>
      <c r="E48" s="28">
        <f>+(C48-C$7)/C$8</f>
        <v>18017.001602907141</v>
      </c>
      <c r="F48" s="1">
        <f>ROUND(2*E48,0)/2</f>
        <v>18017</v>
      </c>
      <c r="G48" s="1">
        <f>+C48-(C$7+F48*C$8)</f>
        <v>9.5100000180536881E-4</v>
      </c>
      <c r="K48" s="1">
        <f>+G48</f>
        <v>9.5100000180536881E-4</v>
      </c>
      <c r="O48" s="1">
        <f ca="1">+C$11+C$12*$F48</f>
        <v>2.9700877217874525E-3</v>
      </c>
      <c r="Q48" s="25">
        <f>+C48-15018.5</f>
        <v>44171.425999999999</v>
      </c>
    </row>
    <row r="49" spans="1:17" ht="12" customHeight="1" x14ac:dyDescent="0.2">
      <c r="A49" s="42" t="s">
        <v>61</v>
      </c>
      <c r="B49" s="43" t="s">
        <v>46</v>
      </c>
      <c r="C49" s="44">
        <v>59189.927000000003</v>
      </c>
      <c r="D49" s="44" t="s">
        <v>63</v>
      </c>
      <c r="E49" s="28">
        <f>+(C49-C$7)/C$8</f>
        <v>18017.003288403619</v>
      </c>
      <c r="F49" s="1">
        <f>ROUND(2*E49,0)/2</f>
        <v>18017</v>
      </c>
      <c r="G49" s="1">
        <f>+C49-(C$7+F49*C$8)</f>
        <v>1.9510000056470744E-3</v>
      </c>
      <c r="K49" s="1">
        <f>+G49</f>
        <v>1.9510000056470744E-3</v>
      </c>
      <c r="O49" s="1">
        <f ca="1">+C$11+C$12*$F49</f>
        <v>2.9700877217874525E-3</v>
      </c>
      <c r="Q49" s="25">
        <f>+C49-15018.5</f>
        <v>44171.427000000003</v>
      </c>
    </row>
    <row r="50" spans="1:17" ht="12" customHeight="1" x14ac:dyDescent="0.2">
      <c r="A50" s="45" t="s">
        <v>65</v>
      </c>
      <c r="B50" s="46" t="s">
        <v>46</v>
      </c>
      <c r="C50" s="47">
        <v>60270.325999999885</v>
      </c>
      <c r="D50" s="45">
        <v>0.01</v>
      </c>
      <c r="E50" s="28">
        <f>+(C50-C$7)/C$8</f>
        <v>19838.011990621701</v>
      </c>
      <c r="F50" s="1">
        <f>ROUND(2*E50,0)/2</f>
        <v>19838</v>
      </c>
      <c r="G50" s="1">
        <f>+C50-(C$7+F50*C$8)</f>
        <v>7.1139998835860752E-3</v>
      </c>
      <c r="K50" s="1">
        <f>+G50</f>
        <v>7.1139998835860752E-3</v>
      </c>
      <c r="O50" s="1">
        <f ca="1">+C$11+C$12*$F50</f>
        <v>5.3407580499462599E-3</v>
      </c>
      <c r="Q50" s="25">
        <f>+C50-15018.5</f>
        <v>45251.825999999885</v>
      </c>
    </row>
  </sheetData>
  <sheetProtection selectLockedCells="1" selectUnlockedCells="1"/>
  <sortState xmlns:xlrd2="http://schemas.microsoft.com/office/spreadsheetml/2017/richdata2" ref="A21:U50">
    <sortCondition ref="C21:C5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2022-03-30T05:53:13Z</dcterms:created>
  <dcterms:modified xsi:type="dcterms:W3CDTF">2025-01-07T06:58:53Z</dcterms:modified>
</cp:coreProperties>
</file>