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49DD8AA-74F4-4805-A1C4-2155A7FA9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6" i="1" l="1"/>
  <c r="E22" i="1"/>
  <c r="F22" i="1" s="1"/>
  <c r="G22" i="1" s="1"/>
  <c r="K22" i="1" s="1"/>
  <c r="Q22" i="1"/>
  <c r="E30" i="1"/>
  <c r="F30" i="1" s="1"/>
  <c r="G30" i="1" s="1"/>
  <c r="K30" i="1" s="1"/>
  <c r="Q30" i="1"/>
  <c r="F14" i="1"/>
  <c r="E28" i="1"/>
  <c r="F28" i="1" s="1"/>
  <c r="G28" i="1" s="1"/>
  <c r="K28" i="1" s="1"/>
  <c r="Q28" i="1"/>
  <c r="E29" i="1"/>
  <c r="F29" i="1" s="1"/>
  <c r="G29" i="1" s="1"/>
  <c r="K29" i="1" s="1"/>
  <c r="Q29" i="1"/>
  <c r="Q27" i="1"/>
  <c r="E26" i="1"/>
  <c r="F26" i="1" s="1"/>
  <c r="K26" i="1" s="1"/>
  <c r="E9" i="1"/>
  <c r="D9" i="1"/>
  <c r="E21" i="1"/>
  <c r="F21" i="1" s="1"/>
  <c r="G21" i="1" s="1"/>
  <c r="I21" i="1" s="1"/>
  <c r="E23" i="1"/>
  <c r="F23" i="1" s="1"/>
  <c r="G23" i="1" s="1"/>
  <c r="K23" i="1" s="1"/>
  <c r="E25" i="1"/>
  <c r="F25" i="1"/>
  <c r="G25" i="1" s="1"/>
  <c r="K25" i="1" s="1"/>
  <c r="Q24" i="1"/>
  <c r="Q26" i="1"/>
  <c r="Q25" i="1"/>
  <c r="Q23" i="1"/>
  <c r="E24" i="1"/>
  <c r="F24" i="1"/>
  <c r="G24" i="1" s="1"/>
  <c r="K24" i="1" s="1"/>
  <c r="E27" i="1"/>
  <c r="F27" i="1" s="1"/>
  <c r="G27" i="1" s="1"/>
  <c r="K27" i="1" s="1"/>
  <c r="C12" i="1"/>
  <c r="C11" i="1"/>
  <c r="O22" i="1" l="1"/>
  <c r="O30" i="1"/>
  <c r="Q21" i="1"/>
  <c r="C17" i="1"/>
  <c r="F15" i="1"/>
  <c r="O29" i="1"/>
  <c r="O28" i="1"/>
  <c r="O27" i="1"/>
  <c r="O21" i="1"/>
  <c r="O25" i="1"/>
  <c r="C15" i="1"/>
  <c r="O24" i="1"/>
  <c r="O23" i="1"/>
  <c r="O26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<sst xmlns="http://schemas.openxmlformats.org/spreadsheetml/2006/main" count="71" uniqueCount="59">
  <si>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</si>
  <si>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</si>
  <si>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</si>
  <si>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</si>
  <si>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</si>
  <si>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</si>
  <si>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</si>
  <si>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</si>
  <si>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</si>
  <si>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</si>
  <si>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</si>
  <si>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</si>
  <si>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</si>
  <si>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</si>
  <si>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</si>
  <si>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</si>
  <si>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</si>
  <si>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</si>
  <si>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</si>
  <si>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</si>
  <si>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</si>
  <si>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</si>
  <si>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</si>
  <si>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</si>
  <si>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</si>
  <si>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</si>
  <si>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</si>
  <si>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</si>
  <si>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</si>
  <si>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</si>
  <si>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</si>
  <si>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</si>
  <si>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</si>
  <si>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</si>
  <si>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</si>
  <si>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</si>
  <si>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</si>
  <si>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</si>
  <si>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</si>
  <si>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</si>
  <si>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V0478 Peg</t>
  </si>
  <si>
    <t>2015-12-20</t>
  </si>
  <si>
    <t xml:space="preserve">G1687-0659 </t>
  </si>
  <si>
    <t>EA</t>
  </si>
  <si>
    <t xml:space="preserve">V0478 Peg / GSC 687-0659 </t>
  </si>
  <si>
    <t>IBVS 6149</t>
  </si>
  <si>
    <t>IBVS 6157</t>
  </si>
  <si>
    <t>I</t>
  </si>
  <si>
    <t>OEJV 0179</t>
  </si>
  <si>
    <t>BAD?</t>
  </si>
  <si>
    <t>JBAV, 55</t>
  </si>
  <si>
    <t>JBAV, 60</t>
  </si>
  <si>
    <t>JBAV 96</t>
  </si>
  <si>
    <t xml:space="preserve">Mag </t>
  </si>
  <si>
    <t>Next ToM-P</t>
  </si>
  <si>
    <t>Next ToM-S</t>
  </si>
  <si>
    <t>9.80-10.50</t>
  </si>
  <si>
    <t>VSX</t>
  </si>
  <si>
    <t>GCSV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</si>
</sst>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7" fillId="0" borderId="5" xfId="0" quotePrefix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33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35" fillId="0" borderId="15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0" fillId="26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22" fontId="36" fillId="0" borderId="18" xfId="0" applyNumberFormat="1" applyFont="1" applyBorder="1" applyAlignment="1">
      <alignment horizontal="right" vertical="center"/>
    </xf>
    <xf numFmtId="0" fontId="6" fillId="26" borderId="14" xfId="0" applyFont="1" applyFill="1" applyBorder="1" applyAlignment="1">
      <alignment horizontal="center" vertical="center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V0478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F-4996-8F86-55327D88E2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4F-4996-8F86-55327D88E2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4F-4996-8F86-55327D88E2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1.1720000002242159E-2</c:v>
                </c:pt>
                <c:pt idx="2">
                  <c:v>5.9600000022328459E-3</c:v>
                </c:pt>
                <c:pt idx="3">
                  <c:v>6.260000001930166E-3</c:v>
                </c:pt>
                <c:pt idx="4">
                  <c:v>5.220000006374903E-3</c:v>
                </c:pt>
                <c:pt idx="5">
                  <c:v>1.4540000003762543E-2</c:v>
                </c:pt>
                <c:pt idx="6">
                  <c:v>1.1140000002342276E-2</c:v>
                </c:pt>
                <c:pt idx="7">
                  <c:v>-9.9999815574847162E-5</c:v>
                </c:pt>
                <c:pt idx="8">
                  <c:v>7.700000009208452E-3</c:v>
                </c:pt>
                <c:pt idx="9">
                  <c:v>-8.9800000278046355E-3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4F-4996-8F86-55327D88E2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4F-4996-8F86-55327D88E2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4F-4996-8F86-55327D88E2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2.0999999999999999E-3</c:v>
                  </c:pt>
                  <c:pt idx="3">
                    <c:v>5.0000000000000001E-4</c:v>
                  </c:pt>
                  <c:pt idx="4">
                    <c:v>2.7000000000000001E-3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4F-4996-8F86-55327D88E2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8.665030507116098E-3</c:v>
                </c:pt>
                <c:pt idx="1">
                  <c:v>7.8099349530803101E-3</c:v>
                </c:pt>
                <c:pt idx="2">
                  <c:v>5.5891678166503133E-3</c:v>
                </c:pt>
                <c:pt idx="3">
                  <c:v>5.5691265146025999E-3</c:v>
                </c:pt>
                <c:pt idx="4">
                  <c:v>5.3381743671956118E-3</c:v>
                </c:pt>
                <c:pt idx="5">
                  <c:v>5.0232396207315387E-3</c:v>
                </c:pt>
                <c:pt idx="6">
                  <c:v>4.7789266052927423E-3</c:v>
                </c:pt>
                <c:pt idx="7">
                  <c:v>3.7549115054262248E-3</c:v>
                </c:pt>
                <c:pt idx="8">
                  <c:v>3.7119658581811236E-3</c:v>
                </c:pt>
                <c:pt idx="9">
                  <c:v>3.2195224364372993E-3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4F-4996-8F86-55327D88E2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</c:v>
                </c:pt>
                <c:pt idx="2">
                  <c:v>3223</c:v>
                </c:pt>
                <c:pt idx="3">
                  <c:v>3244</c:v>
                </c:pt>
                <c:pt idx="4">
                  <c:v>3486</c:v>
                </c:pt>
                <c:pt idx="5">
                  <c:v>3816</c:v>
                </c:pt>
                <c:pt idx="6">
                  <c:v>4072</c:v>
                </c:pt>
                <c:pt idx="7">
                  <c:v>5145</c:v>
                </c:pt>
                <c:pt idx="8">
                  <c:v>5190</c:v>
                </c:pt>
                <c:pt idx="9">
                  <c:v>5706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4F-4996-8F86-55327D88E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69800"/>
        <c:axId val="1"/>
      </c:scatterChart>
      <c:valAx>
        <c:axId val="47946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6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18E553-DB88-B722-E847-FD0BA4D6B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7: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2" max="16384" width="10.28515625" style="20"/>
  </cols>
  <sheetData>
    <row r="1" spans="1:15" s="20" customFormat="1" ht="20.25" x14ac:dyDescent="0.2">
      <c r="A1" s="19" t="s">
        <v>44</v>
      </c>
      <c r="F1" s="3" t="s">
        <v>40</v>
      </c>
      <c r="G1" s="8" t="s">
        <v>41</v>
      </c>
      <c r="H1" s="9"/>
      <c r="I1" s="10" t="s">
        <v>42</v>
      </c>
      <c r="J1" s="3" t="s">
        <v>40</v>
      </c>
      <c r="K1" s="5">
        <v>21.55254</v>
      </c>
      <c r="L1" s="6">
        <v>19.371700000000001</v>
      </c>
      <c r="M1" s="7">
        <v>53906.803</v>
      </c>
      <c r="N1" s="7">
        <v>1.28518</v>
      </c>
      <c r="O1" s="4" t="s">
        <v>43</v>
      </c>
    </row>
    <row r="2" spans="1:15" s="20" customFormat="1" ht="12.95" customHeight="1" x14ac:dyDescent="0.2">
      <c r="A2" s="20" t="s">
        <v>24</v>
      </c>
      <c r="B2" s="20" t="s">
        <v>43</v>
      </c>
      <c r="C2" s="21"/>
      <c r="D2" s="22"/>
    </row>
    <row r="3" spans="1:15" s="20" customFormat="1" ht="12.95" customHeight="1" thickBot="1" x14ac:dyDescent="0.25"/>
    <row r="4" spans="1:15" s="20" customFormat="1" ht="12.95" customHeight="1" thickTop="1" thickBot="1" x14ac:dyDescent="0.25">
      <c r="A4" s="23" t="s">
        <v>1</v>
      </c>
      <c r="C4" s="24">
        <v>53906.803</v>
      </c>
      <c r="D4" s="25">
        <v>1.28518</v>
      </c>
    </row>
    <row r="5" spans="1:15" s="20" customFormat="1" ht="12.95" customHeight="1" thickTop="1" x14ac:dyDescent="0.2">
      <c r="A5" s="26" t="s">
        <v>29</v>
      </c>
      <c r="C5" s="27">
        <v>-9.5</v>
      </c>
      <c r="D5" s="20" t="s">
        <v>30</v>
      </c>
    </row>
    <row r="6" spans="1:15" s="20" customFormat="1" ht="12.95" customHeight="1" x14ac:dyDescent="0.2">
      <c r="A6" s="23" t="s">
        <v>2</v>
      </c>
    </row>
    <row r="7" spans="1:15" s="20" customFormat="1" ht="12.95" customHeight="1" x14ac:dyDescent="0.2">
      <c r="A7" s="20" t="s">
        <v>3</v>
      </c>
      <c r="C7" s="28">
        <v>52755.27</v>
      </c>
      <c r="D7" s="29" t="s">
        <v>57</v>
      </c>
    </row>
    <row r="8" spans="1:15" s="20" customFormat="1" ht="12.95" customHeight="1" x14ac:dyDescent="0.2">
      <c r="A8" s="20" t="s">
        <v>4</v>
      </c>
      <c r="C8" s="28">
        <v>1.28518</v>
      </c>
      <c r="D8" s="29" t="s">
        <v>57</v>
      </c>
    </row>
    <row r="9" spans="1:15" s="20" customFormat="1" ht="12.95" customHeight="1" x14ac:dyDescent="0.2">
      <c r="A9" s="30" t="s">
        <v>32</v>
      </c>
      <c r="C9" s="31">
        <v>21</v>
      </c>
      <c r="D9" s="32" t="str">
        <f>"F"&amp;C9</f>
        <v>F21</v>
      </c>
      <c r="E9" s="33" t="str">
        <f>"G"&amp;C9</f>
        <v>G21</v>
      </c>
    </row>
    <row r="10" spans="1:15" s="20" customFormat="1" ht="12.95" customHeight="1" thickBot="1" x14ac:dyDescent="0.25">
      <c r="C10" s="34" t="s">
        <v>20</v>
      </c>
      <c r="D10" s="34" t="s">
        <v>21</v>
      </c>
    </row>
    <row r="11" spans="1:15" s="20" customFormat="1" ht="12.95" customHeight="1" x14ac:dyDescent="0.2">
      <c r="A11" s="20" t="s">
        <v>16</v>
      </c>
      <c r="C11" s="33">
        <f ca="1">INTERCEPT(INDIRECT($E$9):G992,INDIRECT($D$9):F992)</f>
        <v>8.665030507116098E-3</v>
      </c>
      <c r="D11" s="22"/>
    </row>
    <row r="12" spans="1:15" s="20" customFormat="1" ht="12.95" customHeight="1" x14ac:dyDescent="0.2">
      <c r="A12" s="20" t="s">
        <v>17</v>
      </c>
      <c r="C12" s="33">
        <f ca="1">SLOPE(INDIRECT($E$9):G992,INDIRECT($D$9):F992)</f>
        <v>-9.5434771655779851E-7</v>
      </c>
      <c r="D12" s="22"/>
      <c r="E12" s="58" t="s">
        <v>53</v>
      </c>
      <c r="F12" s="63" t="s">
        <v>56</v>
      </c>
    </row>
    <row r="13" spans="1:15" s="20" customFormat="1" ht="12.95" customHeight="1" x14ac:dyDescent="0.2">
      <c r="A13" s="20" t="s">
        <v>19</v>
      </c>
      <c r="C13" s="22" t="s">
        <v>14</v>
      </c>
      <c r="E13" s="56" t="s">
        <v>33</v>
      </c>
      <c r="F13" s="59">
        <v>1</v>
      </c>
    </row>
    <row r="14" spans="1:15" s="20" customFormat="1" ht="12.95" customHeight="1" x14ac:dyDescent="0.2">
      <c r="E14" s="56" t="s">
        <v>31</v>
      </c>
      <c r="F14" s="60">
        <f ca="1">NOW()+15018.5+$C$5/24</f>
        <v>60682.835804745366</v>
      </c>
    </row>
    <row r="15" spans="1:15" s="20" customFormat="1" ht="12.95" customHeight="1" x14ac:dyDescent="0.2">
      <c r="A15" s="35" t="s">
        <v>18</v>
      </c>
      <c r="C15" s="36">
        <f ca="1">(C7+C11)+(C8+C12)*INT(MAX(F21:F3533))</f>
        <v>60088.510299522437</v>
      </c>
      <c r="E15" s="56" t="s">
        <v>34</v>
      </c>
      <c r="F15" s="60">
        <f ca="1">ROUND(2*($F$14-$C$7)/$C$8,0)/2+$F$13</f>
        <v>6169.5</v>
      </c>
    </row>
    <row r="16" spans="1:15" s="20" customFormat="1" ht="12.95" customHeight="1" x14ac:dyDescent="0.2">
      <c r="A16" s="23" t="s">
        <v>5</v>
      </c>
      <c r="C16" s="38">
        <f ca="1">+C8+C12</f>
        <v>1.2851790456522834</v>
      </c>
      <c r="E16" s="56" t="s">
        <v>35</v>
      </c>
      <c r="F16" s="60">
        <f ca="1">ROUND(2*($F$14-$C$15)/$C$16,0)/2+$F$13</f>
        <v>463.5</v>
      </c>
    </row>
    <row r="17" spans="1:21" ht="12.95" customHeight="1" thickBot="1" x14ac:dyDescent="0.25">
      <c r="A17" s="37" t="s">
        <v>28</v>
      </c>
      <c r="B17" s="20"/>
      <c r="C17" s="20">
        <f>COUNT(C21:C2191)</f>
        <v>10</v>
      </c>
      <c r="D17" s="20"/>
      <c r="E17" s="56" t="s">
        <v>54</v>
      </c>
      <c r="F17" s="61">
        <f ca="1">+$C$15+$C$16*$F$16-15018.5-$C$5/24</f>
        <v>45666.086620515605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2.95" customHeight="1" thickTop="1" thickBot="1" x14ac:dyDescent="0.25">
      <c r="A18" s="23" t="s">
        <v>6</v>
      </c>
      <c r="B18" s="20"/>
      <c r="C18" s="39">
        <f ca="1">+C15</f>
        <v>60088.510299522437</v>
      </c>
      <c r="D18" s="55">
        <f ca="1">+C16</f>
        <v>1.2851790456522834</v>
      </c>
      <c r="E18" s="57" t="s">
        <v>55</v>
      </c>
      <c r="F18" s="62">
        <f ca="1">+($C$15+$C$16*$F$16)-($C$16/2)-15018.5-$C$5/24</f>
        <v>45665.444030992781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12.95" customHeight="1" thickTop="1" x14ac:dyDescent="0.2">
      <c r="A19" s="20"/>
      <c r="B19" s="20"/>
      <c r="C19" s="20"/>
      <c r="D19" s="20"/>
      <c r="E19" s="37"/>
      <c r="F19" s="4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12.95" customHeight="1" thickBot="1" x14ac:dyDescent="0.25">
      <c r="A20" s="34" t="s">
        <v>7</v>
      </c>
      <c r="B20" s="34" t="s">
        <v>8</v>
      </c>
      <c r="C20" s="34" t="s">
        <v>9</v>
      </c>
      <c r="D20" s="34" t="s">
        <v>13</v>
      </c>
      <c r="E20" s="34" t="s">
        <v>10</v>
      </c>
      <c r="F20" s="34" t="s">
        <v>11</v>
      </c>
      <c r="G20" s="34" t="s">
        <v>12</v>
      </c>
      <c r="H20" s="41" t="s">
        <v>36</v>
      </c>
      <c r="I20" s="41" t="s">
        <v>37</v>
      </c>
      <c r="J20" s="41" t="s">
        <v>38</v>
      </c>
      <c r="K20" s="41" t="s">
        <v>39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34" t="s">
        <v>15</v>
      </c>
      <c r="R20" s="20"/>
      <c r="S20" s="20"/>
      <c r="T20" s="20"/>
      <c r="U20" s="43" t="s">
        <v>49</v>
      </c>
    </row>
    <row r="21" spans="1:21" ht="12.95" customHeight="1" x14ac:dyDescent="0.2">
      <c r="A21" s="20" t="s">
        <v>57</v>
      </c>
      <c r="B21" s="20"/>
      <c r="C21" s="44">
        <v>52755.27</v>
      </c>
      <c r="D21" s="44" t="s">
        <v>14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H21" s="20"/>
      <c r="I21" s="20">
        <f>+G21</f>
        <v>0</v>
      </c>
      <c r="J21" s="20"/>
      <c r="K21" s="20"/>
      <c r="L21" s="20"/>
      <c r="M21" s="20"/>
      <c r="N21" s="20"/>
      <c r="O21" s="20">
        <f ca="1">+C$11+C$12*$F21</f>
        <v>8.665030507116098E-3</v>
      </c>
      <c r="P21" s="20"/>
      <c r="Q21" s="45">
        <f>+C21-15018.5</f>
        <v>37736.769999999997</v>
      </c>
      <c r="R21" s="20"/>
      <c r="S21" s="20"/>
      <c r="T21" s="20"/>
      <c r="U21" s="20"/>
    </row>
    <row r="22" spans="1:21" ht="0" hidden="1" customHeight="1" x14ac:dyDescent="0.2">
      <c r="A22" s="64" t="s">
        <v>58</v>
      </c>
      <c r="C22" s="2">
        <v>53906.803</v>
      </c>
      <c r="D22" s="2"/>
      <c r="E22">
        <f>+(C22-C$7)/C$8</f>
        <v>896.0091193451525</v>
      </c>
      <c r="F22">
        <f>ROUND(2*E22,0)/2</f>
        <v>896</v>
      </c>
      <c r="G22">
        <f>+C22-(C$7+F22*C$8)</f>
        <v>1.1720000002242159E-2</v>
      </c>
      <c r="K22">
        <f>G22</f>
        <v>1.1720000002242159E-2</v>
      </c>
      <c r="O22">
        <f ca="1">+C$11+C$12*$F22</f>
        <v>7.8099349530803101E-3</v>
      </c>
      <c r="Q22" s="1">
        <f>+C22-15018.5</f>
        <v>38888.303</v>
      </c>
    </row>
    <row r="23" spans="1:21" ht="12.95" customHeight="1" x14ac:dyDescent="0.2">
      <c r="A23" s="46" t="s">
        <v>45</v>
      </c>
      <c r="B23" s="47" t="s">
        <v>47</v>
      </c>
      <c r="C23" s="46">
        <v>56897.411099999998</v>
      </c>
      <c r="D23" s="46">
        <v>2.0999999999999999E-3</v>
      </c>
      <c r="E23" s="20">
        <f>+(C23-C$7)/C$8</f>
        <v>3223.0046374826879</v>
      </c>
      <c r="F23" s="20">
        <f>ROUND(2*E23,0)/2</f>
        <v>3223</v>
      </c>
      <c r="G23" s="20">
        <f>+C23-(C$7+F23*C$8)</f>
        <v>5.9600000022328459E-3</v>
      </c>
      <c r="H23" s="20"/>
      <c r="I23" s="20"/>
      <c r="J23" s="20"/>
      <c r="K23" s="20">
        <f>+G23</f>
        <v>5.9600000022328459E-3</v>
      </c>
      <c r="L23" s="20"/>
      <c r="M23" s="20"/>
      <c r="N23" s="20"/>
      <c r="O23" s="20">
        <f ca="1">+C$11+C$12*$F23</f>
        <v>5.5891678166503133E-3</v>
      </c>
      <c r="P23" s="20"/>
      <c r="Q23" s="45">
        <f>+C23-15018.5</f>
        <v>41878.911099999998</v>
      </c>
      <c r="R23" s="20"/>
      <c r="S23" s="20"/>
      <c r="T23" s="20"/>
      <c r="U23" s="20"/>
    </row>
    <row r="24" spans="1:21" ht="12.95" customHeight="1" x14ac:dyDescent="0.2">
      <c r="A24" s="12" t="s">
        <v>48</v>
      </c>
      <c r="B24" s="13" t="s">
        <v>47</v>
      </c>
      <c r="C24" s="14">
        <v>56924.400179999997</v>
      </c>
      <c r="D24" s="14">
        <v>5.0000000000000001E-4</v>
      </c>
      <c r="E24">
        <f>+(C24-C$7)/C$8</f>
        <v>3244.0048709130238</v>
      </c>
      <c r="F24">
        <f>ROUND(2*E24,0)/2</f>
        <v>3244</v>
      </c>
      <c r="G24">
        <f>+C24-(C$7+F24*C$8)</f>
        <v>6.260000001930166E-3</v>
      </c>
      <c r="K24">
        <f>+G24</f>
        <v>6.260000001930166E-3</v>
      </c>
      <c r="O24">
        <f ca="1">+C$11+C$12*$F24</f>
        <v>5.5691265146025999E-3</v>
      </c>
      <c r="Q24" s="1">
        <f>+C24-15018.5</f>
        <v>41905.900179999997</v>
      </c>
    </row>
    <row r="25" spans="1:21" ht="12.95" customHeight="1" x14ac:dyDescent="0.2">
      <c r="A25" s="48" t="s">
        <v>46</v>
      </c>
      <c r="B25" s="49"/>
      <c r="C25" s="48">
        <v>57235.412700000001</v>
      </c>
      <c r="D25" s="48">
        <v>2.7000000000000001E-3</v>
      </c>
      <c r="E25" s="20">
        <f>+(C25-C$7)/C$8</f>
        <v>3486.00406168786</v>
      </c>
      <c r="F25" s="20">
        <f>ROUND(2*E25,0)/2</f>
        <v>3486</v>
      </c>
      <c r="G25" s="20">
        <f>+C25-(C$7+F25*C$8)</f>
        <v>5.220000006374903E-3</v>
      </c>
      <c r="H25" s="20"/>
      <c r="I25" s="20"/>
      <c r="J25" s="20"/>
      <c r="K25" s="20">
        <f>+G25</f>
        <v>5.220000006374903E-3</v>
      </c>
      <c r="L25" s="20"/>
      <c r="M25" s="20"/>
      <c r="N25" s="20"/>
      <c r="O25" s="20">
        <f ca="1">+C$11+C$12*$F25</f>
        <v>5.3381743671956118E-3</v>
      </c>
      <c r="P25" s="20"/>
      <c r="Q25" s="45">
        <f>+C25-15018.5</f>
        <v>42216.912700000001</v>
      </c>
      <c r="R25" s="20"/>
      <c r="S25" s="20"/>
      <c r="T25" s="20"/>
      <c r="U25" s="20"/>
    </row>
    <row r="26" spans="1:21" ht="12.95" customHeight="1" x14ac:dyDescent="0.2">
      <c r="A26" s="12" t="s">
        <v>48</v>
      </c>
      <c r="B26" s="13" t="s">
        <v>47</v>
      </c>
      <c r="C26" s="14">
        <v>57659.531419999999</v>
      </c>
      <c r="D26" s="14">
        <v>6.9999999999999999E-4</v>
      </c>
      <c r="E26">
        <f>+(C26-C$7)/C$8</f>
        <v>3816.0113135903161</v>
      </c>
      <c r="F26">
        <f>ROUND(2*E26,0)/2</f>
        <v>3816</v>
      </c>
      <c r="G26" s="20">
        <f>+C26-(C$7+F26*C$8)</f>
        <v>1.4540000003762543E-2</v>
      </c>
      <c r="K26">
        <f>+C26-(C$7+F26*C$8)</f>
        <v>1.4540000003762543E-2</v>
      </c>
      <c r="O26">
        <f ca="1">+C$11+C$12*$F26</f>
        <v>5.0232396207315387E-3</v>
      </c>
      <c r="Q26" s="1">
        <f>+C26-15018.5</f>
        <v>42641.031419999999</v>
      </c>
    </row>
    <row r="27" spans="1:21" ht="12.95" customHeight="1" x14ac:dyDescent="0.2">
      <c r="A27" s="11" t="s">
        <v>0</v>
      </c>
      <c r="B27" s="15" t="s">
        <v>47</v>
      </c>
      <c r="C27" s="16">
        <v>57988.534099999997</v>
      </c>
      <c r="D27" s="16">
        <v>5.0000000000000001E-4</v>
      </c>
      <c r="E27">
        <f>+(C27-C$7)/C$8</f>
        <v>4072.0086680464997</v>
      </c>
      <c r="F27">
        <f>ROUND(2*E27,0)/2</f>
        <v>4072</v>
      </c>
      <c r="G27">
        <f>+C27-(C$7+F27*C$8)</f>
        <v>1.1140000002342276E-2</v>
      </c>
      <c r="K27">
        <f>G27</f>
        <v>1.1140000002342276E-2</v>
      </c>
      <c r="O27">
        <f ca="1">+C$11+C$12*$F27</f>
        <v>4.7789266052927423E-3</v>
      </c>
      <c r="Q27" s="1">
        <f>+C27-15018.5</f>
        <v>42970.034099999997</v>
      </c>
    </row>
    <row r="28" spans="1:21" ht="12.95" customHeight="1" x14ac:dyDescent="0.2">
      <c r="A28" s="17" t="s">
        <v>50</v>
      </c>
      <c r="B28" s="18" t="s">
        <v>47</v>
      </c>
      <c r="C28" s="50">
        <v>59367.521000000183</v>
      </c>
      <c r="D28" s="51">
        <v>1E-3</v>
      </c>
      <c r="E28">
        <f>+(C28-C$7)/C$8</f>
        <v>5144.9999221900325</v>
      </c>
      <c r="F28">
        <f>ROUND(2*E28,0)/2</f>
        <v>5145</v>
      </c>
      <c r="G28">
        <f>+C28-(C$7+F28*C$8)</f>
        <v>-9.9999815574847162E-5</v>
      </c>
      <c r="K28">
        <f>G28</f>
        <v>-9.9999815574847162E-5</v>
      </c>
      <c r="O28">
        <f ca="1">+C$11+C$12*$F28</f>
        <v>3.7549115054262248E-3</v>
      </c>
      <c r="Q28" s="1">
        <f>+C28-15018.5</f>
        <v>44349.021000000183</v>
      </c>
    </row>
    <row r="29" spans="1:21" ht="12.95" customHeight="1" x14ac:dyDescent="0.2">
      <c r="A29" s="17" t="s">
        <v>51</v>
      </c>
      <c r="B29" s="18" t="s">
        <v>47</v>
      </c>
      <c r="C29" s="50">
        <v>59425.361900000004</v>
      </c>
      <c r="D29" s="51">
        <v>2.9999999999999997E-4</v>
      </c>
      <c r="E29">
        <f>+(C29-C$7)/C$8</f>
        <v>5190.0059913786445</v>
      </c>
      <c r="F29">
        <f>ROUND(2*E29,0)/2</f>
        <v>5190</v>
      </c>
      <c r="G29">
        <f>+C29-(C$7+F29*C$8)</f>
        <v>7.700000009208452E-3</v>
      </c>
      <c r="K29">
        <f>G29</f>
        <v>7.700000009208452E-3</v>
      </c>
      <c r="O29">
        <f ca="1">+C$11+C$12*$F29</f>
        <v>3.7119658581811236E-3</v>
      </c>
      <c r="Q29" s="1">
        <f>+C29-15018.5</f>
        <v>44406.861900000004</v>
      </c>
    </row>
    <row r="30" spans="1:21" ht="12.95" customHeight="1" x14ac:dyDescent="0.2">
      <c r="A30" s="52" t="s">
        <v>52</v>
      </c>
      <c r="B30" s="53" t="s">
        <v>47</v>
      </c>
      <c r="C30" s="54">
        <v>60088.498099999968</v>
      </c>
      <c r="D30" s="52">
        <v>4.0000000000000002E-4</v>
      </c>
      <c r="E30">
        <f>+(C30-C$7)/C$8</f>
        <v>5705.9930126519021</v>
      </c>
      <c r="F30">
        <f>ROUND(2*E30,0)/2</f>
        <v>5706</v>
      </c>
      <c r="G30">
        <f>+C30-(C$7+F30*C$8)</f>
        <v>-8.9800000278046355E-3</v>
      </c>
      <c r="K30">
        <f>G30</f>
        <v>-8.9800000278046355E-3</v>
      </c>
      <c r="O30">
        <f ca="1">+C$11+C$12*$F30</f>
        <v>3.2195224364372993E-3</v>
      </c>
      <c r="Q30" s="1">
        <f>+C30-15018.5</f>
        <v>45069.998099999968</v>
      </c>
    </row>
    <row r="31" spans="1:21" ht="12.95" customHeight="1" x14ac:dyDescent="0.2">
      <c r="C31" s="2"/>
      <c r="D31" s="2"/>
      <c r="Q31" s="1"/>
    </row>
    <row r="32" spans="1:21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ht="12.95" customHeight="1" x14ac:dyDescent="0.2">
      <c r="C36" s="2"/>
      <c r="D36" s="2"/>
    </row>
    <row r="37" spans="3:17" ht="12.95" customHeight="1" x14ac:dyDescent="0.2">
      <c r="C37" s="2"/>
      <c r="D37" s="2"/>
    </row>
    <row r="38" spans="3:17" ht="12.95" customHeight="1" x14ac:dyDescent="0.2">
      <c r="C38" s="2"/>
      <c r="D38" s="2"/>
    </row>
    <row r="39" spans="3:17" ht="12.95" customHeight="1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X38">
    <sortCondition ref="C21:C38"/>
  </sortState>
  <phoneticPr fontId="8" type="noConversion"/>
  <hyperlinks>
    <hyperlink ref="H63370" r:id="rId1" display="http://vsolj.cetus-net.org/bulletin.html" xr:uid="{00000000-0004-0000-0000-000000000000}"/>
    <hyperlink ref="H63363" r:id="rId2" display="https://www.aavso.org/ejaavso" xr:uid="{00000000-0004-0000-0000-000001000000}"/>
    <hyperlink ref="AP221" r:id="rId3" display="http://cdsbib.u-strasbg.fr/cgi-bin/cdsbib?1990RMxAA..21..381G" xr:uid="{00000000-0004-0000-0000-000002000000}"/>
    <hyperlink ref="AP218" r:id="rId4" display="http://cdsbib.u-strasbg.fr/cgi-bin/cdsbib?1990RMxAA..21..381G" xr:uid="{00000000-0004-0000-0000-000003000000}"/>
    <hyperlink ref="AP220" r:id="rId5" display="http://cdsbib.u-strasbg.fr/cgi-bin/cdsbib?1990RMxAA..21..381G" xr:uid="{00000000-0004-0000-0000-000004000000}"/>
    <hyperlink ref="AP196" r:id="rId6" display="http://cdsbib.u-strasbg.fr/cgi-bin/cdsbib?1990RMxAA..21..381G" xr:uid="{00000000-0004-0000-0000-000005000000}"/>
    <hyperlink ref="I63370" r:id="rId7" display="http://vsolj.cetus-net.org/bulletin.html" xr:uid="{00000000-0004-0000-0000-000006000000}"/>
    <hyperlink ref="AQ357" r:id="rId8" display="http://cdsbib.u-strasbg.fr/cgi-bin/cdsbib?1990RMxAA..21..381G" xr:uid="{00000000-0004-0000-0000-000007000000}"/>
    <hyperlink ref="AQ2001" r:id="rId9" display="http://cdsbib.u-strasbg.fr/cgi-bin/cdsbib?1990RMxAA..21..381G" xr:uid="{00000000-0004-0000-0000-000008000000}"/>
    <hyperlink ref="AQ358" r:id="rId10" display="http://cdsbib.u-strasbg.fr/cgi-bin/cdsbib?1990RMxAA..21..381G" xr:uid="{00000000-0004-0000-0000-000009000000}"/>
    <hyperlink ref="H63367" r:id="rId11" display="https://www.aavso.org/ejaavso" xr:uid="{00000000-0004-0000-0000-00000A000000}"/>
    <hyperlink ref="H1208" r:id="rId12" display="http://vsolj.cetus-net.org/bulletin.html" xr:uid="{00000000-0004-0000-0000-00000B000000}"/>
    <hyperlink ref="AP4446" r:id="rId13" display="http://cdsbib.u-strasbg.fr/cgi-bin/cdsbib?1990RMxAA..21..381G" xr:uid="{00000000-0004-0000-0000-00000C000000}"/>
    <hyperlink ref="AP4449" r:id="rId14" display="http://cdsbib.u-strasbg.fr/cgi-bin/cdsbib?1990RMxAA..21..381G" xr:uid="{00000000-0004-0000-0000-00000D000000}"/>
    <hyperlink ref="AP4447" r:id="rId15" display="http://cdsbib.u-strasbg.fr/cgi-bin/cdsbib?1990RMxAA..21..381G" xr:uid="{00000000-0004-0000-0000-00000E000000}"/>
    <hyperlink ref="AP4425" r:id="rId16" display="http://cdsbib.u-strasbg.fr/cgi-bin/cdsbib?1990RMxAA..21..381G" xr:uid="{00000000-0004-0000-0000-00000F000000}"/>
    <hyperlink ref="I1208" r:id="rId17" display="http://vsolj.cetus-net.org/bulletin.html" xr:uid="{00000000-0004-0000-0000-000010000000}"/>
    <hyperlink ref="AQ4559" r:id="rId18" display="http://cdsbib.u-strasbg.fr/cgi-bin/cdsbib?1990RMxAA..21..381G" xr:uid="{00000000-0004-0000-0000-000011000000}"/>
    <hyperlink ref="AQ64647" r:id="rId19" display="http://cdsbib.u-strasbg.fr/cgi-bin/cdsbib?1990RMxAA..21..381G" xr:uid="{00000000-0004-0000-0000-000012000000}"/>
    <hyperlink ref="AQ456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2025-01-07T07:03:33Z</dcterms:modified>
</cp:coreProperties>
</file>