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B96198-3D9B-4F00-A725-82400F578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 s="1"/>
  <c r="G39" i="1" s="1"/>
  <c r="K39" i="1" s="1"/>
  <c r="Q39" i="1"/>
  <c r="E38" i="2"/>
  <c r="F38" i="2"/>
  <c r="G38" i="2" s="1"/>
  <c r="K38" i="2" s="1"/>
  <c r="Q38" i="2"/>
  <c r="E39" i="2"/>
  <c r="F39" i="2"/>
  <c r="G39" i="2"/>
  <c r="K39" i="2" s="1"/>
  <c r="Q39" i="2"/>
  <c r="E37" i="3"/>
  <c r="F37" i="3" s="1"/>
  <c r="G37" i="3" s="1"/>
  <c r="K37" i="3" s="1"/>
  <c r="Q37" i="3"/>
  <c r="E38" i="3"/>
  <c r="F38" i="3" s="1"/>
  <c r="G38" i="3" s="1"/>
  <c r="K38" i="3" s="1"/>
  <c r="Q38" i="3"/>
  <c r="F14" i="3"/>
  <c r="F14" i="2"/>
  <c r="E37" i="2"/>
  <c r="F37" i="2" s="1"/>
  <c r="G37" i="2" s="1"/>
  <c r="K37" i="2" s="1"/>
  <c r="Q37" i="2"/>
  <c r="E37" i="1"/>
  <c r="F37" i="1" s="1"/>
  <c r="G37" i="1" s="1"/>
  <c r="K37" i="1" s="1"/>
  <c r="Q37" i="1"/>
  <c r="E36" i="1"/>
  <c r="F36" i="1"/>
  <c r="G36" i="1" s="1"/>
  <c r="K36" i="1" s="1"/>
  <c r="Q36" i="1"/>
  <c r="F14" i="1"/>
  <c r="E31" i="3"/>
  <c r="F31" i="3" s="1"/>
  <c r="Q31" i="3"/>
  <c r="E32" i="3"/>
  <c r="F32" i="3" s="1"/>
  <c r="G32" i="3" s="1"/>
  <c r="K32" i="3" s="1"/>
  <c r="Q32" i="3"/>
  <c r="E33" i="3"/>
  <c r="F33" i="3" s="1"/>
  <c r="G33" i="3" s="1"/>
  <c r="K33" i="3" s="1"/>
  <c r="Q33" i="3"/>
  <c r="E34" i="3"/>
  <c r="F34" i="3"/>
  <c r="G34" i="3" s="1"/>
  <c r="K34" i="3" s="1"/>
  <c r="Q34" i="3"/>
  <c r="E35" i="3"/>
  <c r="F35" i="3" s="1"/>
  <c r="G35" i="3" s="1"/>
  <c r="K35" i="3" s="1"/>
  <c r="Q35" i="3"/>
  <c r="E36" i="3"/>
  <c r="F36" i="3"/>
  <c r="G36" i="3" s="1"/>
  <c r="K36" i="3" s="1"/>
  <c r="Q36" i="3"/>
  <c r="E32" i="2"/>
  <c r="F32" i="2" s="1"/>
  <c r="G32" i="2" s="1"/>
  <c r="K32" i="2" s="1"/>
  <c r="Q32" i="2"/>
  <c r="E33" i="2"/>
  <c r="F33" i="2" s="1"/>
  <c r="G33" i="2" s="1"/>
  <c r="K33" i="2" s="1"/>
  <c r="Q33" i="2"/>
  <c r="E34" i="2"/>
  <c r="F34" i="2" s="1"/>
  <c r="G34" i="2" s="1"/>
  <c r="K34" i="2" s="1"/>
  <c r="Q34" i="2"/>
  <c r="E35" i="2"/>
  <c r="F35" i="2"/>
  <c r="G35" i="2" s="1"/>
  <c r="K35" i="2" s="1"/>
  <c r="Q35" i="2"/>
  <c r="E36" i="2"/>
  <c r="F36" i="2"/>
  <c r="G36" i="2"/>
  <c r="K36" i="2" s="1"/>
  <c r="Q36" i="2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C9" i="3"/>
  <c r="D9" i="3"/>
  <c r="E22" i="3"/>
  <c r="F22" i="3"/>
  <c r="G22" i="3"/>
  <c r="K22" i="3"/>
  <c r="E23" i="3"/>
  <c r="F23" i="3"/>
  <c r="G23" i="3"/>
  <c r="K23" i="3"/>
  <c r="E24" i="3"/>
  <c r="F24" i="3"/>
  <c r="G24" i="3"/>
  <c r="K24" i="3"/>
  <c r="E25" i="3"/>
  <c r="F25" i="3"/>
  <c r="G25" i="3"/>
  <c r="K25" i="3"/>
  <c r="E26" i="3"/>
  <c r="F26" i="3"/>
  <c r="G26" i="3"/>
  <c r="K26" i="3"/>
  <c r="E27" i="3"/>
  <c r="F27" i="3"/>
  <c r="G27" i="3"/>
  <c r="K27" i="3"/>
  <c r="E28" i="3"/>
  <c r="F28" i="3"/>
  <c r="G28" i="3"/>
  <c r="K28" i="3"/>
  <c r="E29" i="3"/>
  <c r="F29" i="3"/>
  <c r="G29" i="3"/>
  <c r="K29" i="3"/>
  <c r="E30" i="3"/>
  <c r="F30" i="3"/>
  <c r="G30" i="3"/>
  <c r="K30" i="3"/>
  <c r="A21" i="3"/>
  <c r="C21" i="3"/>
  <c r="C17" i="3"/>
  <c r="Q21" i="3"/>
  <c r="Q22" i="3"/>
  <c r="Q23" i="3"/>
  <c r="Q24" i="3"/>
  <c r="Q25" i="3"/>
  <c r="Q26" i="3"/>
  <c r="Q27" i="3"/>
  <c r="Q28" i="3"/>
  <c r="Q29" i="3"/>
  <c r="Q30" i="3"/>
  <c r="C9" i="2"/>
  <c r="D9" i="2"/>
  <c r="E21" i="2"/>
  <c r="F21" i="2"/>
  <c r="E22" i="2"/>
  <c r="F22" i="2"/>
  <c r="G22" i="2"/>
  <c r="K22" i="2"/>
  <c r="E23" i="2"/>
  <c r="F23" i="2"/>
  <c r="G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E28" i="2"/>
  <c r="F28" i="2"/>
  <c r="G28" i="2"/>
  <c r="E29" i="2"/>
  <c r="F29" i="2"/>
  <c r="G29" i="2"/>
  <c r="K29" i="2"/>
  <c r="E30" i="2"/>
  <c r="F30" i="2"/>
  <c r="G30" i="2"/>
  <c r="K30" i="2"/>
  <c r="E31" i="2"/>
  <c r="F31" i="2"/>
  <c r="G31" i="2"/>
  <c r="A21" i="2"/>
  <c r="C21" i="2"/>
  <c r="Q22" i="2"/>
  <c r="K23" i="2"/>
  <c r="Q23" i="2"/>
  <c r="Q24" i="2"/>
  <c r="Q25" i="2"/>
  <c r="Q26" i="2"/>
  <c r="Q27" i="2"/>
  <c r="K28" i="2"/>
  <c r="Q28" i="2"/>
  <c r="Q29" i="2"/>
  <c r="Q30" i="2"/>
  <c r="K31" i="2"/>
  <c r="Q31" i="2"/>
  <c r="E31" i="1"/>
  <c r="F31" i="1" s="1"/>
  <c r="G31" i="1" s="1"/>
  <c r="K31" i="1" s="1"/>
  <c r="Q31" i="1"/>
  <c r="E29" i="1"/>
  <c r="F29" i="1" s="1"/>
  <c r="G29" i="1" s="1"/>
  <c r="K29" i="1" s="1"/>
  <c r="E30" i="1"/>
  <c r="F30" i="1"/>
  <c r="G30" i="1"/>
  <c r="K30" i="1" s="1"/>
  <c r="Q29" i="1"/>
  <c r="Q30" i="1"/>
  <c r="E28" i="1"/>
  <c r="F28" i="1"/>
  <c r="G28" i="1" s="1"/>
  <c r="K28" i="1" s="1"/>
  <c r="D9" i="1"/>
  <c r="C9" i="1"/>
  <c r="C21" i="1"/>
  <c r="E21" i="1" s="1"/>
  <c r="F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Q28" i="1"/>
  <c r="Q22" i="1"/>
  <c r="Q23" i="1"/>
  <c r="Q24" i="1"/>
  <c r="Q25" i="1"/>
  <c r="Q26" i="1"/>
  <c r="Q27" i="1"/>
  <c r="A21" i="1"/>
  <c r="C17" i="1"/>
  <c r="G21" i="2"/>
  <c r="Q21" i="2"/>
  <c r="Q21" i="1"/>
  <c r="C17" i="2"/>
  <c r="E21" i="3"/>
  <c r="F21" i="3"/>
  <c r="G21" i="3"/>
  <c r="I21" i="3"/>
  <c r="I21" i="2"/>
  <c r="C11" i="2"/>
  <c r="C12" i="2"/>
  <c r="O38" i="2" l="1"/>
  <c r="R38" i="2" s="1"/>
  <c r="O39" i="2"/>
  <c r="R39" i="2" s="1"/>
  <c r="G21" i="1"/>
  <c r="F15" i="3"/>
  <c r="F15" i="2"/>
  <c r="O37" i="2"/>
  <c r="R37" i="2" s="1"/>
  <c r="F15" i="1"/>
  <c r="U31" i="3"/>
  <c r="G31" i="3"/>
  <c r="O36" i="2"/>
  <c r="R36" i="2" s="1"/>
  <c r="O35" i="2"/>
  <c r="R35" i="2" s="1"/>
  <c r="O34" i="2"/>
  <c r="R34" i="2" s="1"/>
  <c r="O33" i="2"/>
  <c r="R33" i="2" s="1"/>
  <c r="O32" i="2"/>
  <c r="R32" i="2" s="1"/>
  <c r="O22" i="2"/>
  <c r="R22" i="2" s="1"/>
  <c r="O27" i="2"/>
  <c r="R27" i="2" s="1"/>
  <c r="O30" i="2"/>
  <c r="R30" i="2" s="1"/>
  <c r="O24" i="2"/>
  <c r="R24" i="2" s="1"/>
  <c r="O29" i="2"/>
  <c r="R29" i="2" s="1"/>
  <c r="O21" i="2"/>
  <c r="R21" i="2" s="1"/>
  <c r="O26" i="2"/>
  <c r="R26" i="2" s="1"/>
  <c r="O31" i="2"/>
  <c r="R31" i="2" s="1"/>
  <c r="O25" i="2"/>
  <c r="R25" i="2" s="1"/>
  <c r="C15" i="2"/>
  <c r="O23" i="2"/>
  <c r="R23" i="2" s="1"/>
  <c r="O28" i="2"/>
  <c r="R28" i="2" s="1"/>
  <c r="C16" i="2"/>
  <c r="D18" i="2" s="1"/>
  <c r="C12" i="1"/>
  <c r="C11" i="1"/>
  <c r="C12" i="3"/>
  <c r="C11" i="3"/>
  <c r="O39" i="1" l="1"/>
  <c r="R39" i="1" s="1"/>
  <c r="O38" i="1"/>
  <c r="R38" i="1" s="1"/>
  <c r="O38" i="3"/>
  <c r="R38" i="3" s="1"/>
  <c r="O37" i="3"/>
  <c r="R37" i="3" s="1"/>
  <c r="O33" i="1"/>
  <c r="R33" i="1" s="1"/>
  <c r="O22" i="1"/>
  <c r="R22" i="1" s="1"/>
  <c r="O24" i="1"/>
  <c r="R24" i="1" s="1"/>
  <c r="O26" i="1"/>
  <c r="R26" i="1" s="1"/>
  <c r="O30" i="1"/>
  <c r="R30" i="1" s="1"/>
  <c r="O32" i="1"/>
  <c r="R32" i="1" s="1"/>
  <c r="O25" i="1"/>
  <c r="R25" i="1" s="1"/>
  <c r="C15" i="1"/>
  <c r="C18" i="1" s="1"/>
  <c r="O23" i="1"/>
  <c r="R23" i="1" s="1"/>
  <c r="O29" i="1"/>
  <c r="R29" i="1" s="1"/>
  <c r="O35" i="1"/>
  <c r="R35" i="1" s="1"/>
  <c r="O37" i="1"/>
  <c r="R37" i="1" s="1"/>
  <c r="O21" i="1"/>
  <c r="R21" i="1" s="1"/>
  <c r="O36" i="1"/>
  <c r="R36" i="1" s="1"/>
  <c r="O28" i="1"/>
  <c r="R28" i="1" s="1"/>
  <c r="O27" i="1"/>
  <c r="R27" i="1" s="1"/>
  <c r="O31" i="1"/>
  <c r="R31" i="1" s="1"/>
  <c r="O34" i="1"/>
  <c r="R34" i="1" s="1"/>
  <c r="C16" i="1"/>
  <c r="D18" i="1" s="1"/>
  <c r="I21" i="1"/>
  <c r="F16" i="2"/>
  <c r="F18" i="2" s="1"/>
  <c r="C16" i="3"/>
  <c r="D18" i="3" s="1"/>
  <c r="O35" i="3"/>
  <c r="R35" i="3" s="1"/>
  <c r="O34" i="3"/>
  <c r="R34" i="3" s="1"/>
  <c r="O33" i="3"/>
  <c r="R33" i="3" s="1"/>
  <c r="O32" i="3"/>
  <c r="R32" i="3" s="1"/>
  <c r="O31" i="3"/>
  <c r="R31" i="3" s="1"/>
  <c r="O36" i="3"/>
  <c r="R36" i="3" s="1"/>
  <c r="O29" i="3"/>
  <c r="R29" i="3" s="1"/>
  <c r="O23" i="3"/>
  <c r="R23" i="3" s="1"/>
  <c r="C15" i="3"/>
  <c r="O24" i="3"/>
  <c r="R24" i="3" s="1"/>
  <c r="O28" i="3"/>
  <c r="R28" i="3" s="1"/>
  <c r="O21" i="3"/>
  <c r="R21" i="3" s="1"/>
  <c r="O22" i="3"/>
  <c r="R22" i="3" s="1"/>
  <c r="O26" i="3"/>
  <c r="R26" i="3" s="1"/>
  <c r="O27" i="3"/>
  <c r="R27" i="3" s="1"/>
  <c r="O25" i="3"/>
  <c r="R25" i="3" s="1"/>
  <c r="O30" i="3"/>
  <c r="R30" i="3" s="1"/>
  <c r="K31" i="3"/>
  <c r="R17" i="2"/>
  <c r="C18" i="2"/>
  <c r="R17" i="1" l="1"/>
  <c r="F16" i="1"/>
  <c r="F18" i="1" s="1"/>
  <c r="C18" i="3"/>
  <c r="F16" i="3"/>
  <c r="F18" i="3" s="1"/>
  <c r="F17" i="2"/>
  <c r="R17" i="3"/>
  <c r="F17" i="1" l="1"/>
  <c r="F17" i="3"/>
</calcChain>
</file>

<file path=xl/sharedStrings.xml><?xml version="1.0" encoding="utf-8"?>
<sst xmlns="http://schemas.openxmlformats.org/spreadsheetml/2006/main" count="260" uniqueCount="64">
  <si>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</si>
  <si>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</si>
  <si>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</si>
  <si>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</si>
  <si>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</si>
  <si>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</si>
  <si>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</si>
  <si>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</si>
  <si>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</si>
  <si>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</si>
  <si>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</si>
  <si>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</si>
  <si>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</si>
  <si>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</si>
  <si>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</si>
  <si>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</si>
  <si>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</si>
  <si>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</si>
  <si>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</si>
  <si>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</si>
  <si>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</si>
  <si>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</si>
  <si>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</si>
  <si>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</si>
  <si>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</si>
  <si>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</si>
  <si>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</si>
  <si>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</si>
  <si>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</si>
  <si>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</si>
  <si>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</si>
  <si>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</si>
  <si>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</si>
  <si>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</si>
  <si>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</si>
  <si>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</si>
  <si>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</si>
  <si>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</si>
  <si>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V0576 Peg</t>
  </si>
  <si>
    <t>V0576 Peg / GSC 1718-1664</t>
  </si>
  <si>
    <t>EW</t>
  </si>
  <si>
    <t>VSX</t>
  </si>
  <si>
    <t>IBVS 5920</t>
  </si>
  <si>
    <t>I</t>
  </si>
  <si>
    <t>II</t>
  </si>
  <si>
    <t>IBVS 5960</t>
  </si>
  <si>
    <t>IBVS 6011</t>
  </si>
  <si>
    <t>IBVS 6042</t>
  </si>
  <si>
    <t>pg</t>
  </si>
  <si>
    <t>vis</t>
  </si>
  <si>
    <t>PE</t>
  </si>
  <si>
    <t>CCD</t>
  </si>
  <si>
    <t>G1718-1664</t>
  </si>
  <si>
    <t>IBVS 6195</t>
  </si>
  <si>
    <t>RHN 2019</t>
  </si>
  <si>
    <t>BAD?</t>
  </si>
  <si>
    <t>Checked by ToMcat 2019-08-29</t>
  </si>
  <si>
    <t>JBAV, 60</t>
  </si>
  <si>
    <t>JAAVSO52#1</t>
  </si>
  <si>
    <t xml:space="preserve">Mag </t>
  </si>
  <si>
    <t>Next ToM-P</t>
  </si>
  <si>
    <t>Next ToM-S</t>
  </si>
  <si>
    <t>11.20-11.80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</si>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</sst>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33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41" applyFont="1" applyAlignment="1">
      <alignment vertical="center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0" fontId="0" fillId="0" borderId="11" xfId="0" applyBorder="1">
      <alignment vertical="top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34" fillId="0" borderId="0" xfId="0" applyFont="1" applyAlignment="1" applyProtection="1">
      <alignment horizontal="left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Peg - O-C Diagr.</a:t>
            </a:r>
          </a:p>
        </c:rich>
      </c:tx>
      <c:layout>
        <c:manualLayout>
          <c:xMode val="edge"/>
          <c:yMode val="edge"/>
          <c:x val="0.3466208145125706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786459280948"/>
          <c:y val="0.14035127795846455"/>
          <c:w val="0.785095985004590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Active1!$H$20:$H$20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Active1!$D$21:$D$238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A-4604-9590-E4CA65591668}"/>
            </c:ext>
          </c:extLst>
        </c:ser>
        <c:ser>
          <c:idx val="1"/>
          <c:order val="1"/>
          <c:tx>
            <c:strRef>
              <c:f>Active1!$I$20:$I$20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2A-4604-9590-E4CA65591668}"/>
            </c:ext>
          </c:extLst>
        </c:ser>
        <c:ser>
          <c:idx val="3"/>
          <c:order val="2"/>
          <c:tx>
            <c:strRef>
              <c:f>Active1!$J$20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2A-4604-9590-E4CA65591668}"/>
            </c:ext>
          </c:extLst>
        </c:ser>
        <c:ser>
          <c:idx val="4"/>
          <c:order val="3"/>
          <c:tx>
            <c:strRef>
              <c:f>Active1!$K$20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Active1!$K$21:$K$998</c:f>
              <c:numCache>
                <c:formatCode>General</c:formatCode>
                <c:ptCount val="978"/>
                <c:pt idx="1">
                  <c:v>-2.7249999911873601E-3</c:v>
                </c:pt>
                <c:pt idx="2">
                  <c:v>2.2874999995110556E-3</c:v>
                </c:pt>
                <c:pt idx="3">
                  <c:v>2.4500000072293915E-3</c:v>
                </c:pt>
                <c:pt idx="4">
                  <c:v>-1.6249999971478246E-3</c:v>
                </c:pt>
                <c:pt idx="5">
                  <c:v>-8.8874999928520992E-3</c:v>
                </c:pt>
                <c:pt idx="6">
                  <c:v>-1.0074999998323619E-2</c:v>
                </c:pt>
                <c:pt idx="7">
                  <c:v>-1.7149999992398079E-2</c:v>
                </c:pt>
                <c:pt idx="8">
                  <c:v>-8.7500000008731149E-3</c:v>
                </c:pt>
                <c:pt idx="9">
                  <c:v>-5.0374999991618097E-3</c:v>
                </c:pt>
                <c:pt idx="10">
                  <c:v>-2.7625000002444722E-3</c:v>
                </c:pt>
                <c:pt idx="11">
                  <c:v>-4.2124999963562004E-3</c:v>
                </c:pt>
                <c:pt idx="12">
                  <c:v>-2.3999999975785613E-3</c:v>
                </c:pt>
                <c:pt idx="13">
                  <c:v>-3.6999999938416295E-3</c:v>
                </c:pt>
                <c:pt idx="14">
                  <c:v>-1.7874999975902028E-3</c:v>
                </c:pt>
                <c:pt idx="15">
                  <c:v>-3.4749999977066182E-3</c:v>
                </c:pt>
                <c:pt idx="16">
                  <c:v>-7.7124999952502549E-3</c:v>
                </c:pt>
                <c:pt idx="17">
                  <c:v>-1.6075000094133429E-2</c:v>
                </c:pt>
                <c:pt idx="18">
                  <c:v>-1.6225000072154216E-2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2A-4604-9590-E4CA65591668}"/>
            </c:ext>
          </c:extLst>
        </c:ser>
        <c:ser>
          <c:idx val="2"/>
          <c:order val="4"/>
          <c:tx>
            <c:strRef>
              <c:f>Active1!$L$20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2A-4604-9590-E4CA65591668}"/>
            </c:ext>
          </c:extLst>
        </c:ser>
        <c:ser>
          <c:idx val="5"/>
          <c:order val="5"/>
          <c:tx>
            <c:strRef>
              <c:f>Active1!$M$20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2A-4604-9590-E4CA65591668}"/>
            </c:ext>
          </c:extLst>
        </c:ser>
        <c:ser>
          <c:idx val="6"/>
          <c:order val="6"/>
          <c:tx>
            <c:strRef>
              <c:f>Active1!$N$20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Active1!$D$21:$D$998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2A-4604-9590-E4CA65591668}"/>
            </c:ext>
          </c:extLst>
        </c:ser>
        <c:ser>
          <c:idx val="7"/>
          <c:order val="7"/>
          <c:tx>
            <c:strRef>
              <c:f>Active1!$O$20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Active1!$O$21:$O$998</c:f>
              <c:numCache>
                <c:formatCode>General</c:formatCode>
                <c:ptCount val="978"/>
                <c:pt idx="0">
                  <c:v>-1.0099449733935312E-3</c:v>
                </c:pt>
                <c:pt idx="1">
                  <c:v>-2.0519974579877305E-3</c:v>
                </c:pt>
                <c:pt idx="2">
                  <c:v>-2.0521728286515802E-3</c:v>
                </c:pt>
                <c:pt idx="3">
                  <c:v>-2.5384756795064634E-3</c:v>
                </c:pt>
                <c:pt idx="4">
                  <c:v>-3.0424909674101538E-3</c:v>
                </c:pt>
                <c:pt idx="5">
                  <c:v>-3.538263834112914E-3</c:v>
                </c:pt>
                <c:pt idx="6">
                  <c:v>-3.5384392047767637E-3</c:v>
                </c:pt>
                <c:pt idx="7">
                  <c:v>-5.4159575319503578E-3</c:v>
                </c:pt>
                <c:pt idx="8">
                  <c:v>-5.9532932459854691E-3</c:v>
                </c:pt>
                <c:pt idx="9">
                  <c:v>-5.9534686166493184E-3</c:v>
                </c:pt>
                <c:pt idx="10">
                  <c:v>-6.9225669050820924E-3</c:v>
                </c:pt>
                <c:pt idx="11">
                  <c:v>-7.4437685180430424E-3</c:v>
                </c:pt>
                <c:pt idx="12">
                  <c:v>-7.4439438887068917E-3</c:v>
                </c:pt>
                <c:pt idx="13">
                  <c:v>-7.9518173312152739E-3</c:v>
                </c:pt>
                <c:pt idx="14">
                  <c:v>-7.9519927018791223E-3</c:v>
                </c:pt>
                <c:pt idx="15">
                  <c:v>-7.9521680725429724E-3</c:v>
                </c:pt>
                <c:pt idx="16">
                  <c:v>-8.9168820943795069E-3</c:v>
                </c:pt>
                <c:pt idx="17">
                  <c:v>-8.8865429695335306E-3</c:v>
                </c:pt>
                <c:pt idx="18">
                  <c:v>-9.2983132882523412E-3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2A-4604-9590-E4CA65591668}"/>
            </c:ext>
          </c:extLst>
        </c:ser>
        <c:ser>
          <c:idx val="8"/>
          <c:order val="8"/>
          <c:tx>
            <c:strRef>
              <c:f>Active1!$U$20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Active1!$F$21:$F$998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2971</c:v>
                </c:pt>
                <c:pt idx="2">
                  <c:v>2971.5</c:v>
                </c:pt>
                <c:pt idx="3">
                  <c:v>4358</c:v>
                </c:pt>
                <c:pt idx="4">
                  <c:v>5795</c:v>
                </c:pt>
                <c:pt idx="5">
                  <c:v>7208.5</c:v>
                </c:pt>
                <c:pt idx="6">
                  <c:v>7209</c:v>
                </c:pt>
                <c:pt idx="7">
                  <c:v>12562</c:v>
                </c:pt>
                <c:pt idx="8">
                  <c:v>14094</c:v>
                </c:pt>
                <c:pt idx="9">
                  <c:v>14094.5</c:v>
                </c:pt>
                <c:pt idx="10">
                  <c:v>16857.5</c:v>
                </c:pt>
                <c:pt idx="11">
                  <c:v>18343.5</c:v>
                </c:pt>
                <c:pt idx="12">
                  <c:v>18344</c:v>
                </c:pt>
                <c:pt idx="13">
                  <c:v>19792</c:v>
                </c:pt>
                <c:pt idx="14">
                  <c:v>19792.5</c:v>
                </c:pt>
                <c:pt idx="15">
                  <c:v>19793</c:v>
                </c:pt>
                <c:pt idx="16">
                  <c:v>22543.5</c:v>
                </c:pt>
                <c:pt idx="17">
                  <c:v>22457</c:v>
                </c:pt>
                <c:pt idx="18">
                  <c:v>23631</c:v>
                </c:pt>
              </c:numCache>
            </c:numRef>
          </c:xVal>
          <c:yVal>
            <c:numRef>
              <c:f>Active1!$U$21:$U$998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2A-4604-9590-E4CA6559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9664"/>
        <c:axId val="1"/>
      </c:scatterChart>
      <c:valAx>
        <c:axId val="75010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296533340611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2616984402079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9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11110049718656"/>
          <c:y val="0.92397937099967764"/>
          <c:w val="0.8232242980026109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Peg - O-C Diagr.</a:t>
            </a:r>
          </a:p>
        </c:rich>
      </c:tx>
      <c:layout>
        <c:manualLayout>
          <c:xMode val="edge"/>
          <c:yMode val="edge"/>
          <c:x val="0.3470795789701544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9408255826247"/>
          <c:y val="0.14035127795846455"/>
          <c:w val="0.7869429012009053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7-48B3-A3DF-D7371129DC2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7-48B3-A3DF-D7371129DC2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7-48B3-A3DF-D7371129DC2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-3.4239999949932098E-3</c:v>
                </c:pt>
                <c:pt idx="2">
                  <c:v>6.6399999996065162E-3</c:v>
                </c:pt>
                <c:pt idx="3">
                  <c:v>-1.4559999908669852E-3</c:v>
                </c:pt>
                <c:pt idx="4">
                  <c:v>2.680000034160912E-4</c:v>
                </c:pt>
                <c:pt idx="5">
                  <c:v>9.4560000070487149E-3</c:v>
                </c:pt>
                <c:pt idx="6">
                  <c:v>1.3320000005478505E-2</c:v>
                </c:pt>
                <c:pt idx="7">
                  <c:v>7.908000006864313E-3</c:v>
                </c:pt>
                <c:pt idx="8">
                  <c:v>-1.0395999997854233E-2</c:v>
                </c:pt>
                <c:pt idx="9">
                  <c:v>-1.6319999995175749E-3</c:v>
                </c:pt>
                <c:pt idx="10">
                  <c:v>7.131999998819083E-3</c:v>
                </c:pt>
                <c:pt idx="11">
                  <c:v>1.0384000001067761E-2</c:v>
                </c:pt>
                <c:pt idx="12">
                  <c:v>1.7248000003746711E-2</c:v>
                </c:pt>
                <c:pt idx="13">
                  <c:v>8.8440000035916455E-3</c:v>
                </c:pt>
                <c:pt idx="14">
                  <c:v>1.5808000003744382E-2</c:v>
                </c:pt>
                <c:pt idx="15">
                  <c:v>1.9172000007529277E-2</c:v>
                </c:pt>
                <c:pt idx="16">
                  <c:v>1.917200000025332E-2</c:v>
                </c:pt>
                <c:pt idx="17">
                  <c:v>5.1519999105948955E-3</c:v>
                </c:pt>
                <c:pt idx="18">
                  <c:v>-4.1532000068400521E-2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7-48B3-A3DF-D7371129DC2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7-48B3-A3DF-D7371129DC2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7-48B3-A3DF-D7371129DC2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7-48B3-A3DF-D7371129DC2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3.47544448976178E-3</c:v>
                </c:pt>
                <c:pt idx="1">
                  <c:v>3.6638292324642418E-3</c:v>
                </c:pt>
                <c:pt idx="2">
                  <c:v>3.6638596957150023E-3</c:v>
                </c:pt>
                <c:pt idx="3">
                  <c:v>3.7517766374095861E-3</c:v>
                </c:pt>
                <c:pt idx="4">
                  <c:v>3.8428922204340145E-3</c:v>
                </c:pt>
                <c:pt idx="5">
                  <c:v>3.9325151041711814E-3</c:v>
                </c:pt>
                <c:pt idx="6">
                  <c:v>3.9325455674219419E-3</c:v>
                </c:pt>
                <c:pt idx="7">
                  <c:v>4.2719671073945861E-3</c:v>
                </c:pt>
                <c:pt idx="8">
                  <c:v>4.3691144140695784E-3</c:v>
                </c:pt>
                <c:pt idx="9">
                  <c:v>4.3691448773203389E-3</c:v>
                </c:pt>
                <c:pt idx="10">
                  <c:v>4.5443390324435371E-3</c:v>
                </c:pt>
                <c:pt idx="11">
                  <c:v>4.6385618670455285E-3</c:v>
                </c:pt>
                <c:pt idx="12">
                  <c:v>4.638592330296289E-3</c:v>
                </c:pt>
                <c:pt idx="13">
                  <c:v>4.7304085680882069E-3</c:v>
                </c:pt>
                <c:pt idx="14">
                  <c:v>4.7304390313389674E-3</c:v>
                </c:pt>
                <c:pt idx="15">
                  <c:v>4.7304694945897278E-3</c:v>
                </c:pt>
                <c:pt idx="16">
                  <c:v>4.904871605193155E-3</c:v>
                </c:pt>
                <c:pt idx="17">
                  <c:v>4.8993882200562789E-3</c:v>
                </c:pt>
                <c:pt idx="18">
                  <c:v>4.9738404049147547E-3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E7-48B3-A3DF-D7371129DC2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3092</c:v>
                </c:pt>
                <c:pt idx="2">
                  <c:v>3092.5</c:v>
                </c:pt>
                <c:pt idx="3">
                  <c:v>4535.5</c:v>
                </c:pt>
                <c:pt idx="4">
                  <c:v>6031</c:v>
                </c:pt>
                <c:pt idx="5">
                  <c:v>7502</c:v>
                </c:pt>
                <c:pt idx="6">
                  <c:v>7502.5</c:v>
                </c:pt>
                <c:pt idx="7">
                  <c:v>13073.5</c:v>
                </c:pt>
                <c:pt idx="8">
                  <c:v>14668</c:v>
                </c:pt>
                <c:pt idx="9">
                  <c:v>14668.5</c:v>
                </c:pt>
                <c:pt idx="10">
                  <c:v>17544</c:v>
                </c:pt>
                <c:pt idx="11">
                  <c:v>19090.5</c:v>
                </c:pt>
                <c:pt idx="12">
                  <c:v>19091</c:v>
                </c:pt>
                <c:pt idx="13">
                  <c:v>20598</c:v>
                </c:pt>
                <c:pt idx="14">
                  <c:v>20598.5</c:v>
                </c:pt>
                <c:pt idx="15">
                  <c:v>20599</c:v>
                </c:pt>
                <c:pt idx="16">
                  <c:v>23461.5</c:v>
                </c:pt>
                <c:pt idx="17">
                  <c:v>23371.5</c:v>
                </c:pt>
                <c:pt idx="18">
                  <c:v>24593.5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E7-48B3-A3DF-D7371129D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3928"/>
        <c:axId val="1"/>
      </c:scatterChart>
      <c:valAx>
        <c:axId val="75011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287370006584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10345356314996"/>
          <c:y val="0.92397937099967764"/>
          <c:w val="0.8161526458677200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Peg - O-C Diagr.</a:t>
            </a:r>
          </a:p>
        </c:rich>
      </c:tx>
      <c:layout>
        <c:manualLayout>
          <c:xMode val="edge"/>
          <c:yMode val="edge"/>
          <c:x val="0.3470795789701544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847869093423"/>
          <c:y val="0.14035127795846455"/>
          <c:w val="0.797252196849825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2-43F7-962D-74C5D228DACB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2-43F7-962D-74C5D228DACB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D2-43F7-962D-74C5D228DACB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  <c:pt idx="1">
                  <c:v>1.5523500005656388E-2</c:v>
                </c:pt>
                <c:pt idx="2">
                  <c:v>1.8306999998458195E-2</c:v>
                </c:pt>
                <c:pt idx="3">
                  <c:v>9.3280000073718838E-3</c:v>
                </c:pt>
                <c:pt idx="4">
                  <c:v>3.3615500004088972E-2</c:v>
                </c:pt>
                <c:pt idx="5">
                  <c:v>2.8162000002339482E-2</c:v>
                </c:pt>
                <c:pt idx="6">
                  <c:v>2.4745500006247312E-2</c:v>
                </c:pt>
                <c:pt idx="7">
                  <c:v>5.3599500002746936E-2</c:v>
                </c:pt>
                <c:pt idx="8">
                  <c:v>6.0801499996159691E-2</c:v>
                </c:pt>
                <c:pt idx="9">
                  <c:v>6.2284999999974389E-2</c:v>
                </c:pt>
                <c:pt idx="10">
                  <c:v>-4.0459499999997206E-2</c:v>
                </c:pt>
                <c:pt idx="11">
                  <c:v>3.0643999998574145E-2</c:v>
                </c:pt>
                <c:pt idx="12">
                  <c:v>3.0227500006731134E-2</c:v>
                </c:pt>
                <c:pt idx="13">
                  <c:v>8.2520000069052912E-3</c:v>
                </c:pt>
                <c:pt idx="14">
                  <c:v>7.9355000052601099E-3</c:v>
                </c:pt>
                <c:pt idx="15">
                  <c:v>4.0190000072470866E-3</c:v>
                </c:pt>
                <c:pt idx="16">
                  <c:v>6.510849990445422E-2</c:v>
                </c:pt>
                <c:pt idx="17">
                  <c:v>-4.7390000072482508E-2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2-43F7-962D-74C5D228DACB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D2-43F7-962D-74C5D228DACB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D2-43F7-962D-74C5D228DACB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3.0000000000000003E-4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1.6000000000000001E-3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D2-43F7-962D-74C5D228DACB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2.5013286392649384E-2</c:v>
                </c:pt>
                <c:pt idx="1">
                  <c:v>2.3909734095232098E-2</c:v>
                </c:pt>
                <c:pt idx="2">
                  <c:v>2.3909545163148992E-2</c:v>
                </c:pt>
                <c:pt idx="3">
                  <c:v>2.3394516304604304E-2</c:v>
                </c:pt>
                <c:pt idx="4">
                  <c:v>2.2860783169832206E-2</c:v>
                </c:pt>
                <c:pt idx="5">
                  <c:v>2.2335740910882942E-2</c:v>
                </c:pt>
                <c:pt idx="6">
                  <c:v>2.2335551978799838E-2</c:v>
                </c:pt>
                <c:pt idx="7">
                  <c:v>2.0347230736201049E-2</c:v>
                </c:pt>
                <c:pt idx="8">
                  <c:v>1.9778167301888284E-2</c:v>
                </c:pt>
                <c:pt idx="9">
                  <c:v>1.9777978369805178E-2</c:v>
                </c:pt>
                <c:pt idx="10">
                  <c:v>1.8751510362294801E-2</c:v>
                </c:pt>
                <c:pt idx="11">
                  <c:v>1.8199639747544606E-2</c:v>
                </c:pt>
                <c:pt idx="12">
                  <c:v>1.8199450815461499E-2</c:v>
                </c:pt>
                <c:pt idx="13">
                  <c:v>1.7661561174861087E-2</c:v>
                </c:pt>
                <c:pt idx="14">
                  <c:v>1.766137224277798E-2</c:v>
                </c:pt>
                <c:pt idx="15">
                  <c:v>1.7661183310694877E-2</c:v>
                </c:pt>
                <c:pt idx="16">
                  <c:v>1.667174599147311E-2</c:v>
                </c:pt>
                <c:pt idx="17">
                  <c:v>1.6235501811583279E-2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D2-43F7-962D-74C5D228DACB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2920.5</c:v>
                </c:pt>
                <c:pt idx="2">
                  <c:v>2921</c:v>
                </c:pt>
                <c:pt idx="3">
                  <c:v>4284</c:v>
                </c:pt>
                <c:pt idx="4">
                  <c:v>5696.5</c:v>
                </c:pt>
                <c:pt idx="5">
                  <c:v>7086</c:v>
                </c:pt>
                <c:pt idx="6">
                  <c:v>7086.5</c:v>
                </c:pt>
                <c:pt idx="7">
                  <c:v>12348.5</c:v>
                </c:pt>
                <c:pt idx="8">
                  <c:v>13854.5</c:v>
                </c:pt>
                <c:pt idx="9">
                  <c:v>13855</c:v>
                </c:pt>
                <c:pt idx="10">
                  <c:v>16571.5</c:v>
                </c:pt>
                <c:pt idx="11">
                  <c:v>18032</c:v>
                </c:pt>
                <c:pt idx="12">
                  <c:v>18032.5</c:v>
                </c:pt>
                <c:pt idx="13">
                  <c:v>19456</c:v>
                </c:pt>
                <c:pt idx="14">
                  <c:v>19456.5</c:v>
                </c:pt>
                <c:pt idx="15">
                  <c:v>19457</c:v>
                </c:pt>
                <c:pt idx="16">
                  <c:v>22075.5</c:v>
                </c:pt>
                <c:pt idx="17">
                  <c:v>23230</c:v>
                </c:pt>
              </c:numCache>
            </c:numRef>
          </c:xVal>
          <c:yVal>
            <c:numRef>
              <c:f>'Active 3'!$U$21:$U$999</c:f>
              <c:numCache>
                <c:formatCode>General</c:formatCode>
                <c:ptCount val="979"/>
                <c:pt idx="10">
                  <c:v>-4.0459499999997206E-2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D2-43F7-962D-74C5D228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1960"/>
        <c:axId val="1"/>
      </c:scatterChart>
      <c:valAx>
        <c:axId val="75011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40978254007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79399482281209"/>
          <c:y val="0.92397937099967764"/>
          <c:w val="0.826461924218235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447675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3F3BC2-FA3E-02BD-D132-A9A706EE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19</xdr:col>
      <xdr:colOff>104774</xdr:colOff>
      <xdr:row>18</xdr:row>
      <xdr:rowOff>123825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0FDAA54-FB3E-FD2E-FA0E-ABCE3EA70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18</xdr:col>
      <xdr:colOff>200024</xdr:colOff>
      <xdr:row>19</xdr:row>
      <xdr:rowOff>57150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710D350-383C-4DA1-919D-7B0087C0E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U6939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39</v>
      </c>
    </row>
    <row r="2" spans="1:6" ht="12.95" customHeight="1" x14ac:dyDescent="0.2">
      <c r="A2" t="s">
        <v>24</v>
      </c>
      <c r="B2" t="s">
        <v>40</v>
      </c>
      <c r="C2" s="3"/>
      <c r="D2" s="3"/>
      <c r="E2" s="28" t="s">
        <v>38</v>
      </c>
      <c r="F2" t="s">
        <v>52</v>
      </c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25" t="s">
        <v>37</v>
      </c>
      <c r="D4" s="26" t="s">
        <v>37</v>
      </c>
    </row>
    <row r="5" spans="1:6" ht="12.95" customHeight="1" thickTop="1" x14ac:dyDescent="0.2">
      <c r="A5" s="9" t="s">
        <v>29</v>
      </c>
      <c r="B5" s="10"/>
      <c r="C5" s="11">
        <v>-9.5</v>
      </c>
      <c r="D5" s="10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 s="41">
        <v>54372.595999999998</v>
      </c>
      <c r="D7" s="27" t="s">
        <v>41</v>
      </c>
    </row>
    <row r="8" spans="1:6" ht="12.95" customHeight="1" x14ac:dyDescent="0.2">
      <c r="A8" t="s">
        <v>4</v>
      </c>
      <c r="C8" s="41">
        <v>0.25817499999999999</v>
      </c>
      <c r="D8" s="27" t="s">
        <v>41</v>
      </c>
      <c r="E8" s="38" t="s">
        <v>56</v>
      </c>
    </row>
    <row r="9" spans="1:6" ht="12.95" customHeight="1" x14ac:dyDescent="0.2">
      <c r="A9" s="22" t="s">
        <v>32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6" ht="12.95" customHeight="1" x14ac:dyDescent="0.2">
      <c r="A11" s="10" t="s">
        <v>16</v>
      </c>
      <c r="B11" s="10"/>
      <c r="C11" s="19">
        <f ca="1">INTERCEPT(INDIRECT($D$9):G991,INDIRECT($C$9):F991)</f>
        <v>-1.0099449733935312E-3</v>
      </c>
      <c r="D11" s="3"/>
      <c r="E11" s="10"/>
    </row>
    <row r="12" spans="1:6" ht="12.95" customHeight="1" x14ac:dyDescent="0.2">
      <c r="A12" s="10" t="s">
        <v>17</v>
      </c>
      <c r="B12" s="10"/>
      <c r="C12" s="19">
        <f ca="1">SLOPE(INDIRECT($D$9):G991,INDIRECT($C$9):F991)</f>
        <v>-3.5074132769915833E-7</v>
      </c>
      <c r="D12" s="3"/>
      <c r="E12" s="78" t="s">
        <v>59</v>
      </c>
      <c r="F12" s="79" t="s">
        <v>62</v>
      </c>
    </row>
    <row r="13" spans="1:6" ht="12.95" customHeight="1" x14ac:dyDescent="0.2">
      <c r="A13" s="10" t="s">
        <v>19</v>
      </c>
      <c r="B13" s="10"/>
      <c r="C13" s="3" t="s">
        <v>14</v>
      </c>
      <c r="E13" s="76" t="s">
        <v>34</v>
      </c>
      <c r="F13" s="80">
        <v>1</v>
      </c>
    </row>
    <row r="14" spans="1:6" ht="12.95" customHeight="1" x14ac:dyDescent="0.2">
      <c r="A14" s="10"/>
      <c r="B14" s="10"/>
      <c r="C14" s="10"/>
      <c r="E14" s="76" t="s">
        <v>31</v>
      </c>
      <c r="F14" s="81">
        <f ca="1">NOW()+15018.5+$C$5/24</f>
        <v>60682.84059594907</v>
      </c>
    </row>
    <row r="15" spans="1:6" ht="12.95" customHeight="1" x14ac:dyDescent="0.2">
      <c r="A15" s="12" t="s">
        <v>18</v>
      </c>
      <c r="B15" s="10"/>
      <c r="C15" s="13">
        <f ca="1">(C7+C11)+(C8+C12)*INT(MAX(F21:F3532))</f>
        <v>60473.520126686708</v>
      </c>
      <c r="E15" s="76" t="s">
        <v>35</v>
      </c>
      <c r="F15" s="81">
        <f ca="1">ROUND(2*($F$14-$C$7)/$C$8,0)/2+$F$13</f>
        <v>24442.5</v>
      </c>
    </row>
    <row r="16" spans="1:6" ht="12.95" customHeight="1" x14ac:dyDescent="0.2">
      <c r="A16" s="15" t="s">
        <v>5</v>
      </c>
      <c r="B16" s="10"/>
      <c r="C16" s="16">
        <f ca="1">+C8+C12</f>
        <v>0.25817464925867228</v>
      </c>
      <c r="E16" s="76" t="s">
        <v>36</v>
      </c>
      <c r="F16" s="81">
        <f ca="1">ROUND(2*($F$14-$C$15)/$C$16,0)/2+$F$13</f>
        <v>812</v>
      </c>
    </row>
    <row r="17" spans="1:21" ht="12.95" customHeight="1" thickBot="1" x14ac:dyDescent="0.25">
      <c r="A17" s="14" t="s">
        <v>28</v>
      </c>
      <c r="B17" s="10"/>
      <c r="C17" s="10">
        <f>COUNT(C21:C2190)</f>
        <v>19</v>
      </c>
      <c r="E17" s="76" t="s">
        <v>60</v>
      </c>
      <c r="F17" s="82">
        <f ca="1">+$C$15+$C$16*$F$16-15018.5-$C$5/24</f>
        <v>45665.053775218083</v>
      </c>
      <c r="R17">
        <f ca="1">SQRT(SUM(R21:R31)/COUNT(R21:R31))</f>
        <v>5.0649892993646925E-3</v>
      </c>
    </row>
    <row r="18" spans="1:21" ht="12.95" customHeight="1" thickTop="1" thickBot="1" x14ac:dyDescent="0.25">
      <c r="A18" s="15" t="s">
        <v>6</v>
      </c>
      <c r="B18" s="10"/>
      <c r="C18" s="18">
        <f ca="1">+C15</f>
        <v>60473.520126686708</v>
      </c>
      <c r="D18" s="75">
        <f ca="1">+C16</f>
        <v>0.25817464925867228</v>
      </c>
      <c r="E18" s="77" t="s">
        <v>61</v>
      </c>
      <c r="F18" s="83">
        <f ca="1">+($C$15+$C$16*$F$16)-($C$16/2)-15018.5-$C$5/24</f>
        <v>45664.92468789345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U20" s="24" t="s">
        <v>33</v>
      </c>
    </row>
    <row r="21" spans="1:21" ht="12.95" customHeight="1" x14ac:dyDescent="0.2">
      <c r="A21" t="str">
        <f>D$7</f>
        <v>VSX</v>
      </c>
      <c r="C21" s="8">
        <f>C$7</f>
        <v>54372.595999999998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-1.0099449733935312E-3</v>
      </c>
      <c r="Q21" s="2">
        <f>+C21-15018.5</f>
        <v>39354.095999999998</v>
      </c>
      <c r="R21">
        <f ca="1">(O21-G21)^2</f>
        <v>1.0199888492828604E-6</v>
      </c>
    </row>
    <row r="22" spans="1:21" ht="12.95" customHeight="1" x14ac:dyDescent="0.2">
      <c r="A22" s="30" t="s">
        <v>42</v>
      </c>
      <c r="B22" s="31" t="s">
        <v>43</v>
      </c>
      <c r="C22" s="30">
        <v>55139.631200000003</v>
      </c>
      <c r="D22" s="30">
        <v>2.9999999999999997E-4</v>
      </c>
      <c r="E22">
        <f t="shared" ref="E22:E27" si="0">+(C22-C$7)/C$8</f>
        <v>2970.9894451438199</v>
      </c>
      <c r="F22">
        <f t="shared" ref="F22:F31" si="1">ROUND(2*E22,0)/2</f>
        <v>2971</v>
      </c>
      <c r="G22">
        <f t="shared" ref="G22:G27" si="2">+C22-(C$7+F22*C$8)</f>
        <v>-2.7249999911873601E-3</v>
      </c>
      <c r="K22">
        <f t="shared" ref="K22:K28" si="3">+G22</f>
        <v>-2.7249999911873601E-3</v>
      </c>
      <c r="O22">
        <f t="shared" ref="O22:O27" ca="1" si="4">+C$11+C$12*$F22</f>
        <v>-2.0519974579877305E-3</v>
      </c>
      <c r="Q22" s="2">
        <f t="shared" ref="Q22:Q27" si="5">+C22-15018.5</f>
        <v>40121.131200000003</v>
      </c>
      <c r="R22">
        <f t="shared" ref="R22:R31" ca="1" si="6">(O22-G22)^2</f>
        <v>4.5293240969311861E-7</v>
      </c>
    </row>
    <row r="23" spans="1:21" ht="12.95" customHeight="1" x14ac:dyDescent="0.2">
      <c r="A23" s="30" t="s">
        <v>42</v>
      </c>
      <c r="B23" s="31" t="s">
        <v>44</v>
      </c>
      <c r="C23" s="30">
        <v>55139.765299999999</v>
      </c>
      <c r="D23" s="30">
        <v>6.9999999999999999E-4</v>
      </c>
      <c r="E23">
        <f t="shared" si="0"/>
        <v>2971.5088602692026</v>
      </c>
      <c r="F23">
        <f t="shared" si="1"/>
        <v>2971.5</v>
      </c>
      <c r="G23">
        <f t="shared" si="2"/>
        <v>2.2874999995110556E-3</v>
      </c>
      <c r="K23">
        <f t="shared" si="3"/>
        <v>2.2874999995110556E-3</v>
      </c>
      <c r="O23">
        <f t="shared" ca="1" si="4"/>
        <v>-2.0521728286515802E-3</v>
      </c>
      <c r="Q23" s="2">
        <f t="shared" si="5"/>
        <v>40121.265299999999</v>
      </c>
      <c r="R23">
        <f t="shared" ca="1" si="6"/>
        <v>1.883276025549309E-5</v>
      </c>
    </row>
    <row r="24" spans="1:21" ht="12.95" customHeight="1" x14ac:dyDescent="0.2">
      <c r="A24" s="30" t="s">
        <v>45</v>
      </c>
      <c r="B24" s="31" t="s">
        <v>43</v>
      </c>
      <c r="C24" s="30">
        <v>55497.725100000003</v>
      </c>
      <c r="D24" s="30">
        <v>5.9999999999999995E-4</v>
      </c>
      <c r="E24">
        <f t="shared" si="0"/>
        <v>4358.0094896872497</v>
      </c>
      <c r="F24">
        <f t="shared" si="1"/>
        <v>4358</v>
      </c>
      <c r="G24">
        <f t="shared" si="2"/>
        <v>2.4500000072293915E-3</v>
      </c>
      <c r="K24">
        <f t="shared" si="3"/>
        <v>2.4500000072293915E-3</v>
      </c>
      <c r="O24">
        <f t="shared" ca="1" si="4"/>
        <v>-2.5384756795064634E-3</v>
      </c>
      <c r="Q24" s="2">
        <f t="shared" si="5"/>
        <v>40479.225100000003</v>
      </c>
      <c r="R24">
        <f t="shared" ca="1" si="6"/>
        <v>2.488488967715476E-5</v>
      </c>
    </row>
    <row r="25" spans="1:21" ht="12.95" customHeight="1" x14ac:dyDescent="0.2">
      <c r="A25" s="30" t="s">
        <v>46</v>
      </c>
      <c r="B25" s="31" t="s">
        <v>43</v>
      </c>
      <c r="C25" s="30">
        <v>55868.718500000003</v>
      </c>
      <c r="D25" s="30">
        <v>5.0000000000000001E-4</v>
      </c>
      <c r="E25">
        <f t="shared" si="0"/>
        <v>5794.9937058197156</v>
      </c>
      <c r="F25">
        <f t="shared" si="1"/>
        <v>5795</v>
      </c>
      <c r="G25">
        <f t="shared" si="2"/>
        <v>-1.6249999971478246E-3</v>
      </c>
      <c r="K25">
        <f t="shared" si="3"/>
        <v>-1.6249999971478246E-3</v>
      </c>
      <c r="O25">
        <f t="shared" ca="1" si="4"/>
        <v>-3.0424909674101538E-3</v>
      </c>
      <c r="Q25" s="2">
        <f t="shared" si="5"/>
        <v>40850.218500000003</v>
      </c>
      <c r="R25">
        <f t="shared" ca="1" si="6"/>
        <v>2.0092806507752396E-6</v>
      </c>
    </row>
    <row r="26" spans="1:21" ht="12.95" customHeight="1" x14ac:dyDescent="0.2">
      <c r="A26" s="32" t="s">
        <v>47</v>
      </c>
      <c r="B26" s="33" t="s">
        <v>44</v>
      </c>
      <c r="C26" s="34">
        <v>56233.641600000003</v>
      </c>
      <c r="D26" s="34">
        <v>3.0000000000000003E-4</v>
      </c>
      <c r="E26">
        <f t="shared" si="0"/>
        <v>7208.4655756754337</v>
      </c>
      <c r="F26">
        <f t="shared" si="1"/>
        <v>7208.5</v>
      </c>
      <c r="G26">
        <f t="shared" si="2"/>
        <v>-8.8874999928520992E-3</v>
      </c>
      <c r="K26">
        <f t="shared" si="3"/>
        <v>-8.8874999928520992E-3</v>
      </c>
      <c r="O26">
        <f t="shared" ca="1" si="4"/>
        <v>-3.538263834112914E-3</v>
      </c>
      <c r="Q26" s="2">
        <f t="shared" si="5"/>
        <v>41215.141600000003</v>
      </c>
      <c r="R26">
        <f t="shared" ca="1" si="6"/>
        <v>2.8614327481962755E-5</v>
      </c>
    </row>
    <row r="27" spans="1:21" ht="12.95" customHeight="1" x14ac:dyDescent="0.2">
      <c r="A27" s="32" t="s">
        <v>47</v>
      </c>
      <c r="B27" s="33" t="s">
        <v>43</v>
      </c>
      <c r="C27" s="34">
        <v>56233.769500000002</v>
      </c>
      <c r="D27" s="34">
        <v>5.0000000000000001E-4</v>
      </c>
      <c r="E27">
        <f t="shared" si="0"/>
        <v>7208.9609760821322</v>
      </c>
      <c r="F27">
        <f t="shared" si="1"/>
        <v>7209</v>
      </c>
      <c r="G27">
        <f t="shared" si="2"/>
        <v>-1.0074999998323619E-2</v>
      </c>
      <c r="K27">
        <f t="shared" si="3"/>
        <v>-1.0074999998323619E-2</v>
      </c>
      <c r="O27">
        <f t="shared" ca="1" si="4"/>
        <v>-3.5384392047767637E-3</v>
      </c>
      <c r="Q27" s="2">
        <f t="shared" si="5"/>
        <v>41215.269500000002</v>
      </c>
      <c r="R27">
        <f t="shared" ca="1" si="6"/>
        <v>4.2726627007733891E-5</v>
      </c>
    </row>
    <row r="28" spans="1:21" ht="12.95" customHeight="1" x14ac:dyDescent="0.2">
      <c r="A28" s="29" t="s">
        <v>53</v>
      </c>
      <c r="C28" s="8">
        <v>57615.773200000003</v>
      </c>
      <c r="D28" s="8">
        <v>2.0000000000000001E-4</v>
      </c>
      <c r="E28">
        <f>+(C28-C$7)/C$8</f>
        <v>12561.933572189428</v>
      </c>
      <c r="F28">
        <f t="shared" si="1"/>
        <v>12562</v>
      </c>
      <c r="G28">
        <f>+C28-(C$7+F28*C$8)</f>
        <v>-1.7149999992398079E-2</v>
      </c>
      <c r="K28">
        <f t="shared" si="3"/>
        <v>-1.7149999992398079E-2</v>
      </c>
      <c r="O28">
        <f ca="1">+C$11+C$12*$F28</f>
        <v>-5.4159575319503578E-3</v>
      </c>
      <c r="Q28" s="2">
        <f>+C28-15018.5</f>
        <v>42597.273200000003</v>
      </c>
      <c r="R28">
        <f t="shared" ca="1" si="6"/>
        <v>1.3768775246359002E-4</v>
      </c>
    </row>
    <row r="29" spans="1:21" ht="12.95" customHeight="1" x14ac:dyDescent="0.2">
      <c r="A29" s="35" t="s">
        <v>0</v>
      </c>
      <c r="B29" s="36" t="s">
        <v>43</v>
      </c>
      <c r="C29" s="37">
        <v>58011.305699999997</v>
      </c>
      <c r="D29" s="37">
        <v>1E-4</v>
      </c>
      <c r="E29">
        <f>+(C29-C$7)/C$8</f>
        <v>14093.9661082599</v>
      </c>
      <c r="F29">
        <f t="shared" si="1"/>
        <v>14094</v>
      </c>
      <c r="G29">
        <f>+C29-(C$7+F29*C$8)</f>
        <v>-8.7500000008731149E-3</v>
      </c>
      <c r="K29">
        <f>+G29</f>
        <v>-8.7500000008731149E-3</v>
      </c>
      <c r="O29">
        <f ca="1">+C$11+C$12*$F29</f>
        <v>-5.9532932459854691E-3</v>
      </c>
      <c r="Q29" s="2">
        <f>+C29-15018.5</f>
        <v>42992.805699999997</v>
      </c>
      <c r="R29">
        <f t="shared" ca="1" si="6"/>
        <v>7.8215686728341865E-6</v>
      </c>
    </row>
    <row r="30" spans="1:21" ht="12.95" customHeight="1" x14ac:dyDescent="0.2">
      <c r="A30" s="35" t="s">
        <v>0</v>
      </c>
      <c r="B30" s="36" t="s">
        <v>43</v>
      </c>
      <c r="C30" s="37">
        <v>58011.438499999997</v>
      </c>
      <c r="D30" s="37">
        <v>2.5000000000000001E-3</v>
      </c>
      <c r="E30">
        <f>+(C30-C$7)/C$8</f>
        <v>14094.480488041054</v>
      </c>
      <c r="F30">
        <f t="shared" si="1"/>
        <v>14094.5</v>
      </c>
      <c r="G30">
        <f>+C30-(C$7+F30*C$8)</f>
        <v>-5.0374999991618097E-3</v>
      </c>
      <c r="K30">
        <f>+G30</f>
        <v>-5.0374999991618097E-3</v>
      </c>
      <c r="O30">
        <f ca="1">+C$11+C$12*$F30</f>
        <v>-5.9534686166493184E-3</v>
      </c>
      <c r="Q30" s="2">
        <f>+C30-15018.5</f>
        <v>42992.938499999997</v>
      </c>
      <c r="R30">
        <f t="shared" ca="1" si="6"/>
        <v>8.3899850822197803E-7</v>
      </c>
    </row>
    <row r="31" spans="1:21" ht="12.95" customHeight="1" x14ac:dyDescent="0.2">
      <c r="A31" s="5" t="s">
        <v>54</v>
      </c>
      <c r="C31" s="8">
        <v>58724.778299999998</v>
      </c>
      <c r="D31" s="8">
        <v>2.9999999999999997E-4</v>
      </c>
      <c r="E31">
        <f>+(C31-C$7)/C$8</f>
        <v>16857.489299893485</v>
      </c>
      <c r="F31">
        <f t="shared" si="1"/>
        <v>16857.5</v>
      </c>
      <c r="G31">
        <f>+C31-(C$7+F31*C$8)</f>
        <v>-2.7625000002444722E-3</v>
      </c>
      <c r="K31">
        <f>+G31</f>
        <v>-2.7625000002444722E-3</v>
      </c>
      <c r="O31">
        <f ca="1">+C$11+C$12*$F31</f>
        <v>-6.9225669050820924E-3</v>
      </c>
      <c r="Q31" s="2">
        <f>+C31-15018.5</f>
        <v>43706.278299999998</v>
      </c>
      <c r="R31">
        <f t="shared" ca="1" si="6"/>
        <v>1.7306156652725256E-5</v>
      </c>
    </row>
    <row r="32" spans="1:21" ht="12.95" customHeight="1" x14ac:dyDescent="0.2">
      <c r="A32" s="39" t="s">
        <v>57</v>
      </c>
      <c r="B32" s="40" t="s">
        <v>43</v>
      </c>
      <c r="C32" s="42">
        <v>59108.424899999998</v>
      </c>
      <c r="D32" s="43">
        <v>1.5E-3</v>
      </c>
      <c r="E32">
        <f t="shared" ref="E32:E35" si="7">+(C32-C$7)/C$8</f>
        <v>18343.483683547984</v>
      </c>
      <c r="F32">
        <f t="shared" ref="F32:F35" si="8">ROUND(2*E32,0)/2</f>
        <v>18343.5</v>
      </c>
      <c r="G32">
        <f t="shared" ref="G32:G35" si="9">+C32-(C$7+F32*C$8)</f>
        <v>-4.2124999963562004E-3</v>
      </c>
      <c r="K32">
        <f t="shared" ref="K32:K35" si="10">+G32</f>
        <v>-4.2124999963562004E-3</v>
      </c>
      <c r="O32">
        <f t="shared" ref="O32:O35" ca="1" si="11">+C$11+C$12*$F32</f>
        <v>-7.4437685180430424E-3</v>
      </c>
      <c r="Q32" s="2">
        <f t="shared" ref="Q32:Q35" si="12">+C32-15018.5</f>
        <v>44089.924899999998</v>
      </c>
      <c r="R32">
        <f t="shared" ref="R32:R35" ca="1" si="13">(O32-G32)^2</f>
        <v>1.0441096259244269E-5</v>
      </c>
    </row>
    <row r="33" spans="1:18" ht="12.95" customHeight="1" x14ac:dyDescent="0.2">
      <c r="A33" s="39" t="s">
        <v>57</v>
      </c>
      <c r="B33" s="40" t="s">
        <v>43</v>
      </c>
      <c r="C33" s="42">
        <v>59108.555800000002</v>
      </c>
      <c r="D33" s="43">
        <v>1.6000000000000001E-3</v>
      </c>
      <c r="E33">
        <f t="shared" si="7"/>
        <v>18343.990703979875</v>
      </c>
      <c r="F33">
        <f t="shared" si="8"/>
        <v>18344</v>
      </c>
      <c r="G33">
        <f t="shared" si="9"/>
        <v>-2.3999999975785613E-3</v>
      </c>
      <c r="K33">
        <f t="shared" si="10"/>
        <v>-2.3999999975785613E-3</v>
      </c>
      <c r="O33">
        <f t="shared" ca="1" si="11"/>
        <v>-7.4439438887068917E-3</v>
      </c>
      <c r="Q33" s="2">
        <f t="shared" si="12"/>
        <v>44090.055800000002</v>
      </c>
      <c r="R33">
        <f t="shared" ca="1" si="13"/>
        <v>2.5441369976850801E-5</v>
      </c>
    </row>
    <row r="34" spans="1:18" ht="12.95" customHeight="1" x14ac:dyDescent="0.2">
      <c r="A34" s="39" t="s">
        <v>57</v>
      </c>
      <c r="B34" s="40" t="s">
        <v>43</v>
      </c>
      <c r="C34" s="42">
        <v>59482.391900000002</v>
      </c>
      <c r="D34" s="43">
        <v>8.9999999999999998E-4</v>
      </c>
      <c r="E34">
        <f t="shared" si="7"/>
        <v>19791.985668635632</v>
      </c>
      <c r="F34">
        <f t="shared" si="8"/>
        <v>19792</v>
      </c>
      <c r="G34">
        <f t="shared" si="9"/>
        <v>-3.6999999938416295E-3</v>
      </c>
      <c r="K34">
        <f t="shared" si="10"/>
        <v>-3.6999999938416295E-3</v>
      </c>
      <c r="O34">
        <f t="shared" ca="1" si="11"/>
        <v>-7.9518173312152739E-3</v>
      </c>
      <c r="Q34" s="2">
        <f t="shared" si="12"/>
        <v>44463.891900000002</v>
      </c>
      <c r="R34">
        <f t="shared" ca="1" si="13"/>
        <v>1.8077950670391106E-5</v>
      </c>
    </row>
    <row r="35" spans="1:18" ht="12.95" customHeight="1" x14ac:dyDescent="0.2">
      <c r="A35" s="39" t="s">
        <v>57</v>
      </c>
      <c r="B35" s="40" t="s">
        <v>43</v>
      </c>
      <c r="C35" s="42">
        <v>59482.522900000004</v>
      </c>
      <c r="D35" s="43">
        <v>1.2999999999999999E-3</v>
      </c>
      <c r="E35">
        <f t="shared" si="7"/>
        <v>19792.49307640169</v>
      </c>
      <c r="F35">
        <f t="shared" si="8"/>
        <v>19792.5</v>
      </c>
      <c r="G35">
        <f t="shared" si="9"/>
        <v>-1.7874999975902028E-3</v>
      </c>
      <c r="K35">
        <f t="shared" si="10"/>
        <v>-1.7874999975902028E-3</v>
      </c>
      <c r="O35">
        <f t="shared" ca="1" si="11"/>
        <v>-7.9519927018791223E-3</v>
      </c>
      <c r="Q35" s="2">
        <f t="shared" si="12"/>
        <v>44464.022900000004</v>
      </c>
      <c r="R35">
        <f t="shared" ca="1" si="13"/>
        <v>3.8000970301231312E-5</v>
      </c>
    </row>
    <row r="36" spans="1:18" ht="12.95" customHeight="1" x14ac:dyDescent="0.2">
      <c r="A36" s="39" t="s">
        <v>57</v>
      </c>
      <c r="B36" s="40" t="s">
        <v>43</v>
      </c>
      <c r="C36" s="42">
        <v>59482.650300000001</v>
      </c>
      <c r="D36" s="43">
        <v>4.0000000000000002E-4</v>
      </c>
      <c r="E36">
        <f t="shared" ref="E36" si="14">+(C36-C$7)/C$8</f>
        <v>19792.986540137517</v>
      </c>
      <c r="F36">
        <f t="shared" ref="F36" si="15">ROUND(2*E36,0)/2</f>
        <v>19793</v>
      </c>
      <c r="G36">
        <f t="shared" ref="G36" si="16">+C36-(C$7+F36*C$8)</f>
        <v>-3.4749999977066182E-3</v>
      </c>
      <c r="K36">
        <f t="shared" ref="K36" si="17">+G36</f>
        <v>-3.4749999977066182E-3</v>
      </c>
      <c r="O36">
        <f t="shared" ref="O36" ca="1" si="18">+C$11+C$12*$F36</f>
        <v>-7.9521680725429724E-3</v>
      </c>
      <c r="Q36" s="2">
        <f t="shared" ref="Q36" si="19">+C36-15018.5</f>
        <v>44464.150300000001</v>
      </c>
      <c r="R36">
        <f t="shared" ref="R36" ca="1" si="20">(O36-G36)^2</f>
        <v>2.0045033970333865E-5</v>
      </c>
    </row>
    <row r="37" spans="1:18" ht="12.95" customHeight="1" x14ac:dyDescent="0.2">
      <c r="A37" s="72" t="s">
        <v>58</v>
      </c>
      <c r="B37" s="73" t="s">
        <v>44</v>
      </c>
      <c r="C37" s="74">
        <v>60192.756399999998</v>
      </c>
      <c r="D37" s="74">
        <v>2.9999999999999997E-4</v>
      </c>
      <c r="E37">
        <f t="shared" ref="E37" si="21">+(C37-C$7)/C$8</f>
        <v>22543.470126851946</v>
      </c>
      <c r="F37">
        <f t="shared" ref="F37" si="22">ROUND(2*E37,0)/2</f>
        <v>22543.5</v>
      </c>
      <c r="G37">
        <f t="shared" ref="G37" si="23">+C37-(C$7+F37*C$8)</f>
        <v>-7.7124999952502549E-3</v>
      </c>
      <c r="K37">
        <f t="shared" ref="K37" si="24">+G37</f>
        <v>-7.7124999952502549E-3</v>
      </c>
      <c r="O37">
        <f t="shared" ref="O37" ca="1" si="25">+C$11+C$12*$F37</f>
        <v>-8.9168820943795069E-3</v>
      </c>
      <c r="Q37" s="2">
        <f t="shared" ref="Q37" si="26">+C37-15018.5</f>
        <v>45174.256399999998</v>
      </c>
      <c r="R37">
        <f t="shared" ref="R37" ca="1" si="27">(O37-G37)^2</f>
        <v>1.4505362407029834E-6</v>
      </c>
    </row>
    <row r="38" spans="1:18" x14ac:dyDescent="0.2">
      <c r="A38" s="85" t="s">
        <v>63</v>
      </c>
      <c r="B38" s="73" t="s">
        <v>43</v>
      </c>
      <c r="C38" s="86">
        <v>60170.415899999905</v>
      </c>
      <c r="D38" s="85">
        <v>2.0000000000000001E-4</v>
      </c>
      <c r="E38">
        <f t="shared" ref="E38:E39" si="28">+(C38-C$7)/C$8</f>
        <v>22456.937736031407</v>
      </c>
      <c r="F38">
        <f t="shared" ref="F38:F39" si="29">ROUND(2*E38,0)/2</f>
        <v>22457</v>
      </c>
      <c r="G38">
        <f t="shared" ref="G38:G39" si="30">+C38-(C$7+F38*C$8)</f>
        <v>-1.6075000094133429E-2</v>
      </c>
      <c r="K38">
        <f t="shared" ref="K38:K39" si="31">+G38</f>
        <v>-1.6075000094133429E-2</v>
      </c>
      <c r="O38">
        <f t="shared" ref="O38:O39" ca="1" si="32">+C$11+C$12*$F38</f>
        <v>-8.8865429695335306E-3</v>
      </c>
      <c r="Q38" s="2">
        <f t="shared" ref="Q38:Q39" si="33">+C38-15018.5</f>
        <v>45151.915899999905</v>
      </c>
      <c r="R38">
        <f t="shared" ref="R38:R39" ca="1" si="34">(O38-G38)^2</f>
        <v>5.1673915832211044E-5</v>
      </c>
    </row>
    <row r="39" spans="1:18" x14ac:dyDescent="0.2">
      <c r="A39" s="85" t="s">
        <v>63</v>
      </c>
      <c r="B39" s="73" t="s">
        <v>43</v>
      </c>
      <c r="C39" s="86">
        <v>60473.513199999928</v>
      </c>
      <c r="D39" s="85">
        <v>1E-4</v>
      </c>
      <c r="E39">
        <f t="shared" si="28"/>
        <v>23630.937155030235</v>
      </c>
      <c r="F39">
        <f t="shared" si="29"/>
        <v>23631</v>
      </c>
      <c r="G39">
        <f t="shared" si="30"/>
        <v>-1.6225000072154216E-2</v>
      </c>
      <c r="K39">
        <f t="shared" si="31"/>
        <v>-1.6225000072154216E-2</v>
      </c>
      <c r="O39">
        <f t="shared" ca="1" si="32"/>
        <v>-9.2983132882523412E-3</v>
      </c>
      <c r="Q39" s="2">
        <f t="shared" si="33"/>
        <v>45455.013199999928</v>
      </c>
      <c r="R39">
        <f t="shared" ca="1" si="34"/>
        <v>4.7978989802280903E-5</v>
      </c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H63354" r:id="rId1" display="http://vsolj.cetus-net.org/bulletin.html" xr:uid="{00000000-0004-0000-0000-000000000000}"/>
    <hyperlink ref="H63347" r:id="rId2" display="https://www.aavso.org/ejaavso" xr:uid="{00000000-0004-0000-0000-000001000000}"/>
    <hyperlink ref="AP205" r:id="rId3" display="http://cdsbib.u-strasbg.fr/cgi-bin/cdsbib?1990RMxAA..21..381G" xr:uid="{00000000-0004-0000-0000-000002000000}"/>
    <hyperlink ref="AP202" r:id="rId4" display="http://cdsbib.u-strasbg.fr/cgi-bin/cdsbib?1990RMxAA..21..381G" xr:uid="{00000000-0004-0000-0000-000003000000}"/>
    <hyperlink ref="AP204" r:id="rId5" display="http://cdsbib.u-strasbg.fr/cgi-bin/cdsbib?1990RMxAA..21..381G" xr:uid="{00000000-0004-0000-0000-000004000000}"/>
    <hyperlink ref="AP180" r:id="rId6" display="http://cdsbib.u-strasbg.fr/cgi-bin/cdsbib?1990RMxAA..21..381G" xr:uid="{00000000-0004-0000-0000-000005000000}"/>
    <hyperlink ref="I63354" r:id="rId7" display="http://vsolj.cetus-net.org/bulletin.html" xr:uid="{00000000-0004-0000-0000-000006000000}"/>
    <hyperlink ref="AQ341" r:id="rId8" display="http://cdsbib.u-strasbg.fr/cgi-bin/cdsbib?1990RMxAA..21..381G" xr:uid="{00000000-0004-0000-0000-000007000000}"/>
    <hyperlink ref="AQ1985" r:id="rId9" display="http://cdsbib.u-strasbg.fr/cgi-bin/cdsbib?1990RMxAA..21..381G" xr:uid="{00000000-0004-0000-0000-000008000000}"/>
    <hyperlink ref="AQ342" r:id="rId10" display="http://cdsbib.u-strasbg.fr/cgi-bin/cdsbib?1990RMxAA..21..381G" xr:uid="{00000000-0004-0000-0000-000009000000}"/>
    <hyperlink ref="H63351" r:id="rId11" display="https://www.aavso.org/ejaavso" xr:uid="{00000000-0004-0000-0000-00000A000000}"/>
    <hyperlink ref="H1192" r:id="rId12" display="http://vsolj.cetus-net.org/bulletin.html" xr:uid="{00000000-0004-0000-0000-00000B000000}"/>
    <hyperlink ref="AP4430" r:id="rId13" display="http://cdsbib.u-strasbg.fr/cgi-bin/cdsbib?1990RMxAA..21..381G" xr:uid="{00000000-0004-0000-0000-00000C000000}"/>
    <hyperlink ref="AP4433" r:id="rId14" display="http://cdsbib.u-strasbg.fr/cgi-bin/cdsbib?1990RMxAA..21..381G" xr:uid="{00000000-0004-0000-0000-00000D000000}"/>
    <hyperlink ref="AP4431" r:id="rId15" display="http://cdsbib.u-strasbg.fr/cgi-bin/cdsbib?1990RMxAA..21..381G" xr:uid="{00000000-0004-0000-0000-00000E000000}"/>
    <hyperlink ref="AP4409" r:id="rId16" display="http://cdsbib.u-strasbg.fr/cgi-bin/cdsbib?1990RMxAA..21..381G" xr:uid="{00000000-0004-0000-0000-00000F000000}"/>
    <hyperlink ref="I1192" r:id="rId17" display="http://vsolj.cetus-net.org/bulletin.html" xr:uid="{00000000-0004-0000-0000-000010000000}"/>
    <hyperlink ref="AQ4543" r:id="rId18" display="http://cdsbib.u-strasbg.fr/cgi-bin/cdsbib?1990RMxAA..21..381G" xr:uid="{00000000-0004-0000-0000-000011000000}"/>
    <hyperlink ref="AQ64631" r:id="rId19" display="http://cdsbib.u-strasbg.fr/cgi-bin/cdsbib?1990RMxAA..21..381G" xr:uid="{00000000-0004-0000-0000-000012000000}"/>
    <hyperlink ref="AQ4544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39</v>
      </c>
    </row>
    <row r="2" spans="1:6" s="44" customFormat="1" ht="12.95" customHeight="1" x14ac:dyDescent="0.2">
      <c r="A2" s="44" t="s">
        <v>24</v>
      </c>
      <c r="B2" s="44" t="s">
        <v>40</v>
      </c>
      <c r="C2" s="45"/>
      <c r="D2" s="45"/>
      <c r="E2" s="28" t="s">
        <v>38</v>
      </c>
      <c r="F2" s="44" t="s">
        <v>52</v>
      </c>
    </row>
    <row r="3" spans="1:6" s="44" customFormat="1" ht="12.95" customHeight="1" thickBot="1" x14ac:dyDescent="0.25"/>
    <row r="4" spans="1:6" s="44" customFormat="1" ht="12.95" customHeight="1" thickTop="1" thickBot="1" x14ac:dyDescent="0.25">
      <c r="A4" s="46" t="s">
        <v>1</v>
      </c>
      <c r="C4" s="47" t="s">
        <v>37</v>
      </c>
      <c r="D4" s="48" t="s">
        <v>37</v>
      </c>
    </row>
    <row r="5" spans="1:6" s="44" customFormat="1" ht="12.95" customHeight="1" thickTop="1" x14ac:dyDescent="0.2">
      <c r="A5" s="49" t="s">
        <v>29</v>
      </c>
      <c r="C5" s="50">
        <v>-9.5</v>
      </c>
      <c r="D5" s="44" t="s">
        <v>30</v>
      </c>
    </row>
    <row r="6" spans="1:6" s="44" customFormat="1" ht="12.95" customHeight="1" x14ac:dyDescent="0.2">
      <c r="A6" s="46" t="s">
        <v>2</v>
      </c>
    </row>
    <row r="7" spans="1:6" s="44" customFormat="1" ht="12.95" customHeight="1" x14ac:dyDescent="0.2">
      <c r="A7" s="44" t="s">
        <v>3</v>
      </c>
      <c r="C7" s="71">
        <v>54372.595999999998</v>
      </c>
      <c r="D7" s="52" t="s">
        <v>41</v>
      </c>
    </row>
    <row r="8" spans="1:6" s="44" customFormat="1" ht="12.95" customHeight="1" x14ac:dyDescent="0.2">
      <c r="A8" s="44" t="s">
        <v>4</v>
      </c>
      <c r="C8" s="71">
        <v>0.24807199999999999</v>
      </c>
      <c r="D8" s="52" t="s">
        <v>41</v>
      </c>
    </row>
    <row r="9" spans="1:6" s="44" customFormat="1" ht="12.95" customHeight="1" x14ac:dyDescent="0.2">
      <c r="A9" s="53" t="s">
        <v>32</v>
      </c>
      <c r="B9" s="54">
        <v>21</v>
      </c>
      <c r="C9" s="55" t="str">
        <f>"F"&amp;B9</f>
        <v>F21</v>
      </c>
      <c r="D9" s="56" t="str">
        <f>"G"&amp;B9</f>
        <v>G21</v>
      </c>
    </row>
    <row r="10" spans="1:6" s="44" customFormat="1" ht="12.95" customHeight="1" thickBot="1" x14ac:dyDescent="0.25">
      <c r="C10" s="57" t="s">
        <v>20</v>
      </c>
      <c r="D10" s="57" t="s">
        <v>21</v>
      </c>
    </row>
    <row r="11" spans="1:6" s="44" customFormat="1" ht="12.95" customHeight="1" x14ac:dyDescent="0.2">
      <c r="A11" s="44" t="s">
        <v>16</v>
      </c>
      <c r="C11" s="56">
        <f ca="1">INTERCEPT(INDIRECT($D$9):G992,INDIRECT($C$9):F992)</f>
        <v>3.47544448976178E-3</v>
      </c>
      <c r="D11" s="45"/>
    </row>
    <row r="12" spans="1:6" s="44" customFormat="1" ht="12.95" customHeight="1" x14ac:dyDescent="0.2">
      <c r="A12" s="44" t="s">
        <v>17</v>
      </c>
      <c r="C12" s="56">
        <f ca="1">SLOPE(INDIRECT($D$9):G992,INDIRECT($C$9):F992)</f>
        <v>6.0926501520847987E-8</v>
      </c>
      <c r="D12" s="45"/>
      <c r="E12" s="78" t="s">
        <v>59</v>
      </c>
      <c r="F12" s="79" t="s">
        <v>62</v>
      </c>
    </row>
    <row r="13" spans="1:6" s="44" customFormat="1" ht="12.95" customHeight="1" x14ac:dyDescent="0.2">
      <c r="A13" s="44" t="s">
        <v>19</v>
      </c>
      <c r="C13" s="45" t="s">
        <v>14</v>
      </c>
      <c r="E13" s="76" t="s">
        <v>34</v>
      </c>
      <c r="F13" s="80">
        <v>1</v>
      </c>
    </row>
    <row r="14" spans="1:6" s="44" customFormat="1" ht="12.95" customHeight="1" x14ac:dyDescent="0.2">
      <c r="E14" s="76" t="s">
        <v>31</v>
      </c>
      <c r="F14" s="81">
        <f ca="1">NOW()+15018.5+$C$5/24</f>
        <v>60682.84059594907</v>
      </c>
    </row>
    <row r="15" spans="1:6" s="44" customFormat="1" ht="12.95" customHeight="1" x14ac:dyDescent="0.2">
      <c r="A15" s="58" t="s">
        <v>18</v>
      </c>
      <c r="C15" s="59">
        <f ca="1">(C7+C11)+(C8+C12)*INT(MAX(F21:F3533))</f>
        <v>60473.435669809944</v>
      </c>
      <c r="E15" s="76" t="s">
        <v>35</v>
      </c>
      <c r="F15" s="81">
        <f ca="1">ROUND(2*($F$14-$C$7)/$C$8,0)/2+$F$13</f>
        <v>25438</v>
      </c>
    </row>
    <row r="16" spans="1:6" s="44" customFormat="1" ht="12.95" customHeight="1" x14ac:dyDescent="0.2">
      <c r="A16" s="46" t="s">
        <v>5</v>
      </c>
      <c r="C16" s="61">
        <f ca="1">+C8+C12</f>
        <v>0.2480720609265015</v>
      </c>
      <c r="E16" s="76" t="s">
        <v>36</v>
      </c>
      <c r="F16" s="81">
        <f ca="1">ROUND(2*($F$14-$C$15)/$C$16,0)/2+$F$13</f>
        <v>845</v>
      </c>
    </row>
    <row r="17" spans="1:21" s="44" customFormat="1" ht="12.95" customHeight="1" thickBot="1" x14ac:dyDescent="0.25">
      <c r="A17" s="60" t="s">
        <v>28</v>
      </c>
      <c r="C17" s="44">
        <f>COUNT(C21:C2191)</f>
        <v>19</v>
      </c>
      <c r="E17" s="76" t="s">
        <v>60</v>
      </c>
      <c r="F17" s="82">
        <f ca="1">+$C$15+$C$16*$F$16-15018.5-$C$5/24</f>
        <v>45664.952394626176</v>
      </c>
      <c r="R17" s="44">
        <f ca="1">SQRT(SUM(R21:R31)/COUNT(R21:R31))</f>
        <v>6.7665386256235789E-3</v>
      </c>
    </row>
    <row r="18" spans="1:21" s="44" customFormat="1" ht="12.95" customHeight="1" thickTop="1" thickBot="1" x14ac:dyDescent="0.25">
      <c r="A18" s="46" t="s">
        <v>6</v>
      </c>
      <c r="C18" s="62">
        <f ca="1">+C15</f>
        <v>60473.435669809944</v>
      </c>
      <c r="D18" s="84">
        <f ca="1">+C16</f>
        <v>0.2480720609265015</v>
      </c>
      <c r="E18" s="77" t="s">
        <v>61</v>
      </c>
      <c r="F18" s="83">
        <f ca="1">+($C$15+$C$16*$F$16)-($C$16/2)-15018.5-$C$5/24</f>
        <v>45664.828358595711</v>
      </c>
    </row>
    <row r="19" spans="1:21" s="44" customFormat="1" ht="12.95" customHeight="1" thickTop="1" x14ac:dyDescent="0.2">
      <c r="E19" s="60"/>
      <c r="F19" s="63"/>
    </row>
    <row r="20" spans="1:21" s="44" customFormat="1" ht="12.95" customHeight="1" thickBot="1" x14ac:dyDescent="0.25">
      <c r="A20" s="57" t="s">
        <v>7</v>
      </c>
      <c r="B20" s="57" t="s">
        <v>8</v>
      </c>
      <c r="C20" s="57" t="s">
        <v>9</v>
      </c>
      <c r="D20" s="57" t="s">
        <v>13</v>
      </c>
      <c r="E20" s="57" t="s">
        <v>10</v>
      </c>
      <c r="F20" s="57" t="s">
        <v>11</v>
      </c>
      <c r="G20" s="57" t="s">
        <v>12</v>
      </c>
      <c r="H20" s="64" t="s">
        <v>48</v>
      </c>
      <c r="I20" s="64" t="s">
        <v>49</v>
      </c>
      <c r="J20" s="64" t="s">
        <v>50</v>
      </c>
      <c r="K20" s="64" t="s">
        <v>51</v>
      </c>
      <c r="L20" s="64" t="s">
        <v>25</v>
      </c>
      <c r="M20" s="64" t="s">
        <v>26</v>
      </c>
      <c r="N20" s="64" t="s">
        <v>27</v>
      </c>
      <c r="O20" s="64" t="s">
        <v>23</v>
      </c>
      <c r="P20" s="65" t="s">
        <v>22</v>
      </c>
      <c r="Q20" s="57" t="s">
        <v>15</v>
      </c>
      <c r="R20" s="57"/>
      <c r="U20" s="66" t="s">
        <v>33</v>
      </c>
    </row>
    <row r="21" spans="1:21" s="44" customFormat="1" ht="12.95" customHeight="1" x14ac:dyDescent="0.2">
      <c r="A21" s="44" t="str">
        <f>D$7</f>
        <v>VSX</v>
      </c>
      <c r="C21" s="51">
        <f>C$7</f>
        <v>54372.595999999998</v>
      </c>
      <c r="D21" s="51" t="s">
        <v>14</v>
      </c>
      <c r="E21" s="44">
        <f t="shared" ref="E21:E31" si="0">+(C21-C$7)/C$8</f>
        <v>0</v>
      </c>
      <c r="F21" s="44">
        <f t="shared" ref="F21:F31" si="1">ROUND(2*E21,0)/2</f>
        <v>0</v>
      </c>
      <c r="G21" s="44">
        <f t="shared" ref="G21:G31" si="2">+C21-(C$7+F21*C$8)</f>
        <v>0</v>
      </c>
      <c r="I21" s="44">
        <f>+G21</f>
        <v>0</v>
      </c>
      <c r="O21" s="44">
        <f t="shared" ref="O21:O31" ca="1" si="3">+C$11+C$12*$F21</f>
        <v>3.47544448976178E-3</v>
      </c>
      <c r="Q21" s="67">
        <f t="shared" ref="Q21:Q31" si="4">+C21-15018.5</f>
        <v>39354.095999999998</v>
      </c>
      <c r="R21" s="44">
        <f ca="1">(O21-G21)^2</f>
        <v>1.2078714401415519E-5</v>
      </c>
    </row>
    <row r="22" spans="1:21" s="44" customFormat="1" ht="12.95" customHeight="1" x14ac:dyDescent="0.2">
      <c r="A22" s="30" t="s">
        <v>42</v>
      </c>
      <c r="B22" s="31" t="s">
        <v>43</v>
      </c>
      <c r="C22" s="30">
        <v>55139.631200000003</v>
      </c>
      <c r="D22" s="30">
        <v>2.9999999999999997E-4</v>
      </c>
      <c r="E22" s="44">
        <f t="shared" si="0"/>
        <v>3091.9861975555714</v>
      </c>
      <c r="F22" s="44">
        <f t="shared" si="1"/>
        <v>3092</v>
      </c>
      <c r="G22" s="44">
        <f t="shared" si="2"/>
        <v>-3.4239999949932098E-3</v>
      </c>
      <c r="K22" s="44">
        <f t="shared" ref="K22:K31" si="5">+G22</f>
        <v>-3.4239999949932098E-3</v>
      </c>
      <c r="O22" s="44">
        <f t="shared" ca="1" si="3"/>
        <v>3.6638292324642418E-3</v>
      </c>
      <c r="Q22" s="67">
        <f t="shared" si="4"/>
        <v>40121.131200000003</v>
      </c>
      <c r="R22" s="44">
        <f t="shared" ref="R22:R31" ca="1" si="6">(O22-G22)^2</f>
        <v>5.0237323157600099E-5</v>
      </c>
    </row>
    <row r="23" spans="1:21" s="44" customFormat="1" ht="12.95" customHeight="1" x14ac:dyDescent="0.2">
      <c r="A23" s="30" t="s">
        <v>42</v>
      </c>
      <c r="B23" s="31" t="s">
        <v>44</v>
      </c>
      <c r="C23" s="30">
        <v>55139.765299999999</v>
      </c>
      <c r="D23" s="30">
        <v>6.9999999999999999E-4</v>
      </c>
      <c r="E23" s="44">
        <f t="shared" si="0"/>
        <v>3092.5267664226571</v>
      </c>
      <c r="F23" s="44">
        <f t="shared" si="1"/>
        <v>3092.5</v>
      </c>
      <c r="G23" s="44">
        <f t="shared" si="2"/>
        <v>6.6399999996065162E-3</v>
      </c>
      <c r="K23" s="44">
        <f t="shared" si="5"/>
        <v>6.6399999996065162E-3</v>
      </c>
      <c r="O23" s="44">
        <f t="shared" ca="1" si="3"/>
        <v>3.6638596957150023E-3</v>
      </c>
      <c r="Q23" s="67">
        <f t="shared" si="4"/>
        <v>40121.265299999999</v>
      </c>
      <c r="R23" s="44">
        <f t="shared" ca="1" si="6"/>
        <v>8.8574111084474724E-6</v>
      </c>
    </row>
    <row r="24" spans="1:21" s="44" customFormat="1" ht="12.95" customHeight="1" x14ac:dyDescent="0.2">
      <c r="A24" s="30" t="s">
        <v>45</v>
      </c>
      <c r="B24" s="31" t="s">
        <v>43</v>
      </c>
      <c r="C24" s="30">
        <v>55497.725100000003</v>
      </c>
      <c r="D24" s="30">
        <v>5.9999999999999995E-4</v>
      </c>
      <c r="E24" s="44">
        <f t="shared" si="0"/>
        <v>4535.4941307362606</v>
      </c>
      <c r="F24" s="44">
        <f t="shared" si="1"/>
        <v>4535.5</v>
      </c>
      <c r="G24" s="44">
        <f t="shared" si="2"/>
        <v>-1.4559999908669852E-3</v>
      </c>
      <c r="K24" s="44">
        <f t="shared" si="5"/>
        <v>-1.4559999908669852E-3</v>
      </c>
      <c r="O24" s="44">
        <f t="shared" ca="1" si="3"/>
        <v>3.7517766374095861E-3</v>
      </c>
      <c r="Q24" s="67">
        <f t="shared" si="4"/>
        <v>40479.225100000003</v>
      </c>
      <c r="R24" s="44">
        <f t="shared" ca="1" si="6"/>
        <v>2.7120937410023694E-5</v>
      </c>
    </row>
    <row r="25" spans="1:21" s="44" customFormat="1" ht="12.95" customHeight="1" x14ac:dyDescent="0.2">
      <c r="A25" s="30" t="s">
        <v>46</v>
      </c>
      <c r="B25" s="31" t="s">
        <v>43</v>
      </c>
      <c r="C25" s="30">
        <v>55868.718500000003</v>
      </c>
      <c r="D25" s="30">
        <v>5.0000000000000001E-4</v>
      </c>
      <c r="E25" s="44">
        <f t="shared" si="0"/>
        <v>6031.0010803315372</v>
      </c>
      <c r="F25" s="44">
        <f t="shared" si="1"/>
        <v>6031</v>
      </c>
      <c r="G25" s="44">
        <f t="shared" si="2"/>
        <v>2.680000034160912E-4</v>
      </c>
      <c r="K25" s="44">
        <f t="shared" si="5"/>
        <v>2.680000034160912E-4</v>
      </c>
      <c r="O25" s="44">
        <f t="shared" ca="1" si="3"/>
        <v>3.8428922204340145E-3</v>
      </c>
      <c r="Q25" s="67">
        <f t="shared" si="4"/>
        <v>40850.218500000003</v>
      </c>
      <c r="R25" s="44">
        <f t="shared" ca="1" si="6"/>
        <v>1.2779854363295323E-5</v>
      </c>
    </row>
    <row r="26" spans="1:21" s="44" customFormat="1" ht="12.95" customHeight="1" x14ac:dyDescent="0.2">
      <c r="A26" s="28" t="s">
        <v>47</v>
      </c>
      <c r="B26" s="31" t="s">
        <v>44</v>
      </c>
      <c r="C26" s="30">
        <v>56233.641600000003</v>
      </c>
      <c r="D26" s="30">
        <v>3.0000000000000003E-4</v>
      </c>
      <c r="E26" s="44">
        <f t="shared" si="0"/>
        <v>7502.0381179657725</v>
      </c>
      <c r="F26" s="44">
        <f t="shared" si="1"/>
        <v>7502</v>
      </c>
      <c r="G26" s="44">
        <f t="shared" si="2"/>
        <v>9.4560000070487149E-3</v>
      </c>
      <c r="K26" s="44">
        <f t="shared" si="5"/>
        <v>9.4560000070487149E-3</v>
      </c>
      <c r="O26" s="44">
        <f t="shared" ca="1" si="3"/>
        <v>3.9325151041711814E-3</v>
      </c>
      <c r="Q26" s="67">
        <f t="shared" si="4"/>
        <v>41215.141600000003</v>
      </c>
      <c r="R26" s="44">
        <f t="shared" ca="1" si="6"/>
        <v>3.0508885472316035E-5</v>
      </c>
    </row>
    <row r="27" spans="1:21" s="44" customFormat="1" ht="12.95" customHeight="1" x14ac:dyDescent="0.2">
      <c r="A27" s="28" t="s">
        <v>47</v>
      </c>
      <c r="B27" s="31" t="s">
        <v>43</v>
      </c>
      <c r="C27" s="30">
        <v>56233.769500000002</v>
      </c>
      <c r="D27" s="30">
        <v>5.0000000000000001E-4</v>
      </c>
      <c r="E27" s="44">
        <f t="shared" si="0"/>
        <v>7502.5536940888314</v>
      </c>
      <c r="F27" s="44">
        <f t="shared" si="1"/>
        <v>7502.5</v>
      </c>
      <c r="G27" s="44">
        <f t="shared" si="2"/>
        <v>1.3320000005478505E-2</v>
      </c>
      <c r="K27" s="44">
        <f t="shared" si="5"/>
        <v>1.3320000005478505E-2</v>
      </c>
      <c r="O27" s="44">
        <f t="shared" ca="1" si="3"/>
        <v>3.9325455674219419E-3</v>
      </c>
      <c r="Q27" s="67">
        <f t="shared" si="4"/>
        <v>41215.269500000002</v>
      </c>
      <c r="R27" s="44">
        <f t="shared" ca="1" si="6"/>
        <v>8.8124300826587868E-5</v>
      </c>
    </row>
    <row r="28" spans="1:21" s="44" customFormat="1" ht="12.95" customHeight="1" x14ac:dyDescent="0.2">
      <c r="A28" s="29" t="s">
        <v>53</v>
      </c>
      <c r="C28" s="51">
        <v>57615.773200000003</v>
      </c>
      <c r="D28" s="51">
        <v>2.0000000000000001E-4</v>
      </c>
      <c r="E28" s="44">
        <f t="shared" si="0"/>
        <v>13073.531877841941</v>
      </c>
      <c r="F28" s="44">
        <f t="shared" si="1"/>
        <v>13073.5</v>
      </c>
      <c r="G28" s="44">
        <f t="shared" si="2"/>
        <v>7.908000006864313E-3</v>
      </c>
      <c r="K28" s="44">
        <f t="shared" si="5"/>
        <v>7.908000006864313E-3</v>
      </c>
      <c r="O28" s="44">
        <f t="shared" ca="1" si="3"/>
        <v>4.2719671073945861E-3</v>
      </c>
      <c r="Q28" s="67">
        <f t="shared" si="4"/>
        <v>42597.273200000003</v>
      </c>
      <c r="R28" s="44">
        <f t="shared" ca="1" si="6"/>
        <v>1.322073524602623E-5</v>
      </c>
    </row>
    <row r="29" spans="1:21" s="44" customFormat="1" ht="12.95" customHeight="1" x14ac:dyDescent="0.2">
      <c r="A29" s="68" t="s">
        <v>0</v>
      </c>
      <c r="B29" s="69" t="s">
        <v>43</v>
      </c>
      <c r="C29" s="70">
        <v>58011.305699999997</v>
      </c>
      <c r="D29" s="70">
        <v>1E-4</v>
      </c>
      <c r="E29" s="44">
        <f t="shared" si="0"/>
        <v>14667.958092811763</v>
      </c>
      <c r="F29" s="44">
        <f t="shared" si="1"/>
        <v>14668</v>
      </c>
      <c r="G29" s="44">
        <f t="shared" si="2"/>
        <v>-1.0395999997854233E-2</v>
      </c>
      <c r="K29" s="44">
        <f t="shared" si="5"/>
        <v>-1.0395999997854233E-2</v>
      </c>
      <c r="O29" s="44">
        <f t="shared" ca="1" si="3"/>
        <v>4.3691144140695784E-3</v>
      </c>
      <c r="Q29" s="67">
        <f t="shared" si="4"/>
        <v>42992.805699999997</v>
      </c>
      <c r="R29" s="44">
        <f t="shared" ca="1" si="6"/>
        <v>2.1800860359720022E-4</v>
      </c>
    </row>
    <row r="30" spans="1:21" x14ac:dyDescent="0.2">
      <c r="A30" s="35" t="s">
        <v>0</v>
      </c>
      <c r="B30" s="36" t="s">
        <v>43</v>
      </c>
      <c r="C30" s="37">
        <v>58011.438499999997</v>
      </c>
      <c r="D30" s="37">
        <v>2.5000000000000001E-3</v>
      </c>
      <c r="E30">
        <f t="shared" si="0"/>
        <v>14668.49342126479</v>
      </c>
      <c r="F30">
        <f t="shared" si="1"/>
        <v>14668.5</v>
      </c>
      <c r="G30">
        <f t="shared" si="2"/>
        <v>-1.6319999995175749E-3</v>
      </c>
      <c r="K30">
        <f t="shared" si="5"/>
        <v>-1.6319999995175749E-3</v>
      </c>
      <c r="O30">
        <f t="shared" ca="1" si="3"/>
        <v>4.3691448773203389E-3</v>
      </c>
      <c r="Q30" s="2">
        <f t="shared" si="4"/>
        <v>42992.938499999997</v>
      </c>
      <c r="R30">
        <f t="shared" ca="1" si="6"/>
        <v>3.6013739832797939E-5</v>
      </c>
    </row>
    <row r="31" spans="1:21" x14ac:dyDescent="0.2">
      <c r="A31" s="5" t="s">
        <v>54</v>
      </c>
      <c r="C31" s="8">
        <v>58724.778299999998</v>
      </c>
      <c r="D31" s="8">
        <v>2.9999999999999997E-4</v>
      </c>
      <c r="E31">
        <f t="shared" si="0"/>
        <v>17544.028749717825</v>
      </c>
      <c r="F31">
        <f t="shared" si="1"/>
        <v>17544</v>
      </c>
      <c r="G31">
        <f t="shared" si="2"/>
        <v>7.131999998819083E-3</v>
      </c>
      <c r="K31">
        <f t="shared" si="5"/>
        <v>7.131999998819083E-3</v>
      </c>
      <c r="O31">
        <f t="shared" ca="1" si="3"/>
        <v>4.5443390324435371E-3</v>
      </c>
      <c r="Q31" s="2">
        <f t="shared" si="4"/>
        <v>43706.278299999998</v>
      </c>
      <c r="R31">
        <f t="shared" ca="1" si="6"/>
        <v>6.6959892769036236E-6</v>
      </c>
    </row>
    <row r="32" spans="1:21" x14ac:dyDescent="0.2">
      <c r="A32" s="39" t="s">
        <v>57</v>
      </c>
      <c r="B32" s="40" t="s">
        <v>43</v>
      </c>
      <c r="C32" s="42">
        <v>59108.424899999998</v>
      </c>
      <c r="D32" s="43">
        <v>1.5E-3</v>
      </c>
      <c r="E32">
        <f t="shared" ref="E32:E36" si="7">+(C32-C$7)/C$8</f>
        <v>19090.541858815184</v>
      </c>
      <c r="F32">
        <f t="shared" ref="F32:F36" si="8">ROUND(2*E32,0)/2</f>
        <v>19090.5</v>
      </c>
      <c r="G32">
        <f t="shared" ref="G32:G36" si="9">+C32-(C$7+F32*C$8)</f>
        <v>1.0384000001067761E-2</v>
      </c>
      <c r="K32">
        <f t="shared" ref="K32:K36" si="10">+G32</f>
        <v>1.0384000001067761E-2</v>
      </c>
      <c r="O32">
        <f t="shared" ref="O32:O36" ca="1" si="11">+C$11+C$12*$F32</f>
        <v>4.6385618670455285E-3</v>
      </c>
      <c r="Q32" s="2">
        <f t="shared" ref="Q32:Q36" si="12">+C32-15018.5</f>
        <v>44089.924899999998</v>
      </c>
      <c r="R32">
        <f t="shared" ref="R32:R36" ca="1" si="13">(O32-G32)^2</f>
        <v>3.3010059351876879E-5</v>
      </c>
    </row>
    <row r="33" spans="1:18" x14ac:dyDescent="0.2">
      <c r="A33" s="39" t="s">
        <v>57</v>
      </c>
      <c r="B33" s="40" t="s">
        <v>43</v>
      </c>
      <c r="C33" s="42">
        <v>59108.555800000002</v>
      </c>
      <c r="D33" s="43">
        <v>1.6000000000000001E-3</v>
      </c>
      <c r="E33">
        <f t="shared" si="7"/>
        <v>19091.069528201508</v>
      </c>
      <c r="F33">
        <f t="shared" si="8"/>
        <v>19091</v>
      </c>
      <c r="G33">
        <f t="shared" si="9"/>
        <v>1.7248000003746711E-2</v>
      </c>
      <c r="K33">
        <f t="shared" si="10"/>
        <v>1.7248000003746711E-2</v>
      </c>
      <c r="O33">
        <f t="shared" ca="1" si="11"/>
        <v>4.638592330296289E-3</v>
      </c>
      <c r="Q33" s="2">
        <f t="shared" si="12"/>
        <v>44090.055800000002</v>
      </c>
      <c r="R33">
        <f t="shared" ca="1" si="13"/>
        <v>1.5899716187527037E-4</v>
      </c>
    </row>
    <row r="34" spans="1:18" x14ac:dyDescent="0.2">
      <c r="A34" s="39" t="s">
        <v>57</v>
      </c>
      <c r="B34" s="40" t="s">
        <v>43</v>
      </c>
      <c r="C34" s="42">
        <v>59482.391900000002</v>
      </c>
      <c r="D34" s="43">
        <v>8.9999999999999998E-4</v>
      </c>
      <c r="E34">
        <f t="shared" si="7"/>
        <v>20598.03565094007</v>
      </c>
      <c r="F34">
        <f t="shared" si="8"/>
        <v>20598</v>
      </c>
      <c r="G34">
        <f t="shared" si="9"/>
        <v>8.8440000035916455E-3</v>
      </c>
      <c r="K34">
        <f t="shared" si="10"/>
        <v>8.8440000035916455E-3</v>
      </c>
      <c r="O34">
        <f t="shared" ca="1" si="11"/>
        <v>4.7304085680882069E-3</v>
      </c>
      <c r="Q34" s="2">
        <f t="shared" si="12"/>
        <v>44463.891900000002</v>
      </c>
      <c r="R34">
        <f t="shared" ca="1" si="13"/>
        <v>1.692163449824724E-5</v>
      </c>
    </row>
    <row r="35" spans="1:18" x14ac:dyDescent="0.2">
      <c r="A35" s="39" t="s">
        <v>57</v>
      </c>
      <c r="B35" s="40" t="s">
        <v>43</v>
      </c>
      <c r="C35" s="42">
        <v>59482.522900000004</v>
      </c>
      <c r="D35" s="43">
        <v>1.2999999999999999E-3</v>
      </c>
      <c r="E35">
        <f t="shared" si="7"/>
        <v>20598.563723435156</v>
      </c>
      <c r="F35">
        <f t="shared" si="8"/>
        <v>20598.5</v>
      </c>
      <c r="G35">
        <f t="shared" si="9"/>
        <v>1.5808000003744382E-2</v>
      </c>
      <c r="K35">
        <f t="shared" si="10"/>
        <v>1.5808000003744382E-2</v>
      </c>
      <c r="O35">
        <f t="shared" ca="1" si="11"/>
        <v>4.7304390313389674E-3</v>
      </c>
      <c r="Q35" s="2">
        <f t="shared" si="12"/>
        <v>44464.022900000004</v>
      </c>
      <c r="R35">
        <f t="shared" ca="1" si="13"/>
        <v>1.227123570973596E-4</v>
      </c>
    </row>
    <row r="36" spans="1:18" x14ac:dyDescent="0.2">
      <c r="A36" s="39" t="s">
        <v>57</v>
      </c>
      <c r="B36" s="40" t="s">
        <v>43</v>
      </c>
      <c r="C36" s="42">
        <v>59482.650300000001</v>
      </c>
      <c r="D36" s="43">
        <v>4.0000000000000002E-4</v>
      </c>
      <c r="E36">
        <f t="shared" si="7"/>
        <v>20599.077284014333</v>
      </c>
      <c r="F36">
        <f t="shared" si="8"/>
        <v>20599</v>
      </c>
      <c r="G36">
        <f t="shared" si="9"/>
        <v>1.9172000007529277E-2</v>
      </c>
      <c r="K36">
        <f t="shared" si="10"/>
        <v>1.9172000007529277E-2</v>
      </c>
      <c r="O36">
        <f t="shared" ca="1" si="11"/>
        <v>4.7304694945897278E-3</v>
      </c>
      <c r="Q36" s="2">
        <f t="shared" si="12"/>
        <v>44464.150300000001</v>
      </c>
      <c r="R36">
        <f t="shared" ca="1" si="13"/>
        <v>2.0855780355616405E-4</v>
      </c>
    </row>
    <row r="37" spans="1:18" x14ac:dyDescent="0.2">
      <c r="A37" s="72" t="s">
        <v>58</v>
      </c>
      <c r="B37" s="73" t="s">
        <v>44</v>
      </c>
      <c r="C37" s="74">
        <v>60192.756399999998</v>
      </c>
      <c r="D37" s="74">
        <v>2.9999999999999997E-4</v>
      </c>
      <c r="E37">
        <f t="shared" ref="E37" si="14">+(C37-C$7)/C$8</f>
        <v>23461.577284014322</v>
      </c>
      <c r="F37">
        <f t="shared" ref="F37" si="15">ROUND(2*E37,0)/2</f>
        <v>23461.5</v>
      </c>
      <c r="G37">
        <f t="shared" ref="G37" si="16">+C37-(C$7+F37*C$8)</f>
        <v>1.917200000025332E-2</v>
      </c>
      <c r="K37">
        <f t="shared" ref="K37" si="17">+G37</f>
        <v>1.917200000025332E-2</v>
      </c>
      <c r="O37">
        <f t="shared" ref="O37" ca="1" si="18">+C$11+C$12*$F37</f>
        <v>4.904871605193155E-3</v>
      </c>
      <c r="Q37" s="2">
        <f t="shared" ref="Q37" si="19">+C37-15018.5</f>
        <v>45174.256399999998</v>
      </c>
      <c r="R37">
        <f t="shared" ref="R37" ca="1" si="20">(O37-G37)^2</f>
        <v>2.0355095264113206E-4</v>
      </c>
    </row>
    <row r="38" spans="1:18" x14ac:dyDescent="0.2">
      <c r="A38" s="85" t="s">
        <v>63</v>
      </c>
      <c r="B38" s="73" t="s">
        <v>43</v>
      </c>
      <c r="C38" s="86">
        <v>60170.415899999905</v>
      </c>
      <c r="D38" s="85">
        <v>2.0000000000000001E-4</v>
      </c>
      <c r="E38">
        <f t="shared" ref="E38:E39" si="21">+(C38-C$7)/C$8</f>
        <v>23371.520768163711</v>
      </c>
      <c r="F38">
        <f t="shared" ref="F38:F39" si="22">ROUND(2*E38,0)/2</f>
        <v>23371.5</v>
      </c>
      <c r="G38">
        <f t="shared" ref="G38:G39" si="23">+C38-(C$7+F38*C$8)</f>
        <v>5.1519999105948955E-3</v>
      </c>
      <c r="K38">
        <f t="shared" ref="K38:K39" si="24">+G38</f>
        <v>5.1519999105948955E-3</v>
      </c>
      <c r="O38">
        <f t="shared" ref="O38:O39" ca="1" si="25">+C$11+C$12*$F38</f>
        <v>4.8993882200562789E-3</v>
      </c>
      <c r="Q38" s="2">
        <f t="shared" ref="Q38:Q39" si="26">+C38-15018.5</f>
        <v>45151.915899999905</v>
      </c>
      <c r="R38">
        <f t="shared" ref="R38:R39" ca="1" si="27">(O38-G38)^2</f>
        <v>6.3812666196777767E-8</v>
      </c>
    </row>
    <row r="39" spans="1:18" x14ac:dyDescent="0.2">
      <c r="A39" s="85" t="s">
        <v>63</v>
      </c>
      <c r="B39" s="73" t="s">
        <v>43</v>
      </c>
      <c r="C39" s="86">
        <v>60473.513199999928</v>
      </c>
      <c r="D39" s="85">
        <v>1E-4</v>
      </c>
      <c r="E39">
        <f t="shared" si="21"/>
        <v>24593.332580863342</v>
      </c>
      <c r="F39">
        <f t="shared" si="22"/>
        <v>24593.5</v>
      </c>
      <c r="G39">
        <f t="shared" si="23"/>
        <v>-4.1532000068400521E-2</v>
      </c>
      <c r="K39">
        <f t="shared" si="24"/>
        <v>-4.1532000068400521E-2</v>
      </c>
      <c r="O39">
        <f t="shared" ca="1" si="25"/>
        <v>4.9738404049147547E-3</v>
      </c>
      <c r="Q39" s="2">
        <f t="shared" si="26"/>
        <v>45455.013199999928</v>
      </c>
      <c r="R39">
        <f t="shared" ca="1" si="27"/>
        <v>2.1627931981294491E-3</v>
      </c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55" r:id="rId1" display="http://vsolj.cetus-net.org/bulletin.html" xr:uid="{00000000-0004-0000-0100-000000000000}"/>
    <hyperlink ref="H63348" r:id="rId2" display="https://www.aavso.org/ejaavso" xr:uid="{00000000-0004-0000-0100-000001000000}"/>
    <hyperlink ref="AP206" r:id="rId3" display="http://cdsbib.u-strasbg.fr/cgi-bin/cdsbib?1990RMxAA..21..381G" xr:uid="{00000000-0004-0000-0100-000002000000}"/>
    <hyperlink ref="AP203" r:id="rId4" display="http://cdsbib.u-strasbg.fr/cgi-bin/cdsbib?1990RMxAA..21..381G" xr:uid="{00000000-0004-0000-0100-000003000000}"/>
    <hyperlink ref="AP205" r:id="rId5" display="http://cdsbib.u-strasbg.fr/cgi-bin/cdsbib?1990RMxAA..21..381G" xr:uid="{00000000-0004-0000-0100-000004000000}"/>
    <hyperlink ref="AP181" r:id="rId6" display="http://cdsbib.u-strasbg.fr/cgi-bin/cdsbib?1990RMxAA..21..381G" xr:uid="{00000000-0004-0000-0100-000005000000}"/>
    <hyperlink ref="I63355" r:id="rId7" display="http://vsolj.cetus-net.org/bulletin.html" xr:uid="{00000000-0004-0000-0100-000006000000}"/>
    <hyperlink ref="AQ342" r:id="rId8" display="http://cdsbib.u-strasbg.fr/cgi-bin/cdsbib?1990RMxAA..21..381G" xr:uid="{00000000-0004-0000-0100-000007000000}"/>
    <hyperlink ref="AQ1986" r:id="rId9" display="http://cdsbib.u-strasbg.fr/cgi-bin/cdsbib?1990RMxAA..21..381G" xr:uid="{00000000-0004-0000-0100-000008000000}"/>
    <hyperlink ref="AQ343" r:id="rId10" display="http://cdsbib.u-strasbg.fr/cgi-bin/cdsbib?1990RMxAA..21..381G" xr:uid="{00000000-0004-0000-0100-000009000000}"/>
    <hyperlink ref="H63352" r:id="rId11" display="https://www.aavso.org/ejaavso" xr:uid="{00000000-0004-0000-0100-00000A000000}"/>
    <hyperlink ref="H1193" r:id="rId12" display="http://vsolj.cetus-net.org/bulletin.html" xr:uid="{00000000-0004-0000-0100-00000B000000}"/>
    <hyperlink ref="AP4431" r:id="rId13" display="http://cdsbib.u-strasbg.fr/cgi-bin/cdsbib?1990RMxAA..21..381G" xr:uid="{00000000-0004-0000-0100-00000C000000}"/>
    <hyperlink ref="AP4434" r:id="rId14" display="http://cdsbib.u-strasbg.fr/cgi-bin/cdsbib?1990RMxAA..21..381G" xr:uid="{00000000-0004-0000-0100-00000D000000}"/>
    <hyperlink ref="AP4432" r:id="rId15" display="http://cdsbib.u-strasbg.fr/cgi-bin/cdsbib?1990RMxAA..21..381G" xr:uid="{00000000-0004-0000-0100-00000E000000}"/>
    <hyperlink ref="AP4410" r:id="rId16" display="http://cdsbib.u-strasbg.fr/cgi-bin/cdsbib?1990RMxAA..21..381G" xr:uid="{00000000-0004-0000-0100-00000F000000}"/>
    <hyperlink ref="I1193" r:id="rId17" display="http://vsolj.cetus-net.org/bulletin.html" xr:uid="{00000000-0004-0000-0100-000010000000}"/>
    <hyperlink ref="AQ4544" r:id="rId18" display="http://cdsbib.u-strasbg.fr/cgi-bin/cdsbib?1990RMxAA..21..381G" xr:uid="{00000000-0004-0000-0100-000011000000}"/>
    <hyperlink ref="AQ64632" r:id="rId19" display="http://cdsbib.u-strasbg.fr/cgi-bin/cdsbib?1990RMxAA..21..381G" xr:uid="{00000000-0004-0000-0100-000012000000}"/>
    <hyperlink ref="AQ4545" r:id="rId20" display="http://cdsbib.u-strasbg.fr/cgi-bin/cdsbib?1990RMxAA..21..381G" xr:uid="{00000000-0004-0000-01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39</v>
      </c>
    </row>
    <row r="2" spans="1:6" s="44" customFormat="1" ht="12.95" customHeight="1" x14ac:dyDescent="0.2">
      <c r="A2" s="44" t="s">
        <v>24</v>
      </c>
      <c r="B2" s="44" t="s">
        <v>40</v>
      </c>
      <c r="C2" s="45"/>
      <c r="D2" s="45"/>
      <c r="E2" s="28" t="s">
        <v>38</v>
      </c>
      <c r="F2" s="44" t="s">
        <v>52</v>
      </c>
    </row>
    <row r="3" spans="1:6" s="44" customFormat="1" ht="12.95" customHeight="1" thickBot="1" x14ac:dyDescent="0.25"/>
    <row r="4" spans="1:6" s="44" customFormat="1" ht="12.95" customHeight="1" thickTop="1" thickBot="1" x14ac:dyDescent="0.25">
      <c r="A4" s="46" t="s">
        <v>1</v>
      </c>
      <c r="C4" s="47" t="s">
        <v>37</v>
      </c>
      <c r="D4" s="48" t="s">
        <v>37</v>
      </c>
    </row>
    <row r="5" spans="1:6" s="44" customFormat="1" ht="12.95" customHeight="1" thickTop="1" x14ac:dyDescent="0.2">
      <c r="A5" s="49" t="s">
        <v>29</v>
      </c>
      <c r="C5" s="50">
        <v>-9.5</v>
      </c>
      <c r="D5" s="44" t="s">
        <v>30</v>
      </c>
    </row>
    <row r="6" spans="1:6" s="44" customFormat="1" ht="12.95" customHeight="1" x14ac:dyDescent="0.2">
      <c r="A6" s="46" t="s">
        <v>2</v>
      </c>
    </row>
    <row r="7" spans="1:6" s="44" customFormat="1" ht="12.95" customHeight="1" x14ac:dyDescent="0.2">
      <c r="A7" s="44" t="s">
        <v>3</v>
      </c>
      <c r="C7" s="71">
        <v>54372.595999999998</v>
      </c>
      <c r="D7" s="52" t="s">
        <v>41</v>
      </c>
    </row>
    <row r="8" spans="1:6" s="44" customFormat="1" ht="12.95" customHeight="1" x14ac:dyDescent="0.2">
      <c r="A8" s="44" t="s">
        <v>4</v>
      </c>
      <c r="C8" s="71">
        <v>0.26263300000000001</v>
      </c>
      <c r="D8" s="52" t="s">
        <v>41</v>
      </c>
    </row>
    <row r="9" spans="1:6" s="44" customFormat="1" ht="12.95" customHeight="1" x14ac:dyDescent="0.2">
      <c r="A9" s="53" t="s">
        <v>32</v>
      </c>
      <c r="B9" s="54">
        <v>21</v>
      </c>
      <c r="C9" s="55" t="str">
        <f>"F"&amp;B9</f>
        <v>F21</v>
      </c>
      <c r="D9" s="56" t="str">
        <f>"G"&amp;B9</f>
        <v>G21</v>
      </c>
    </row>
    <row r="10" spans="1:6" s="44" customFormat="1" ht="12.95" customHeight="1" thickBot="1" x14ac:dyDescent="0.25">
      <c r="C10" s="57" t="s">
        <v>20</v>
      </c>
      <c r="D10" s="57" t="s">
        <v>21</v>
      </c>
    </row>
    <row r="11" spans="1:6" s="44" customFormat="1" ht="12.95" customHeight="1" x14ac:dyDescent="0.2">
      <c r="A11" s="44" t="s">
        <v>16</v>
      </c>
      <c r="C11" s="56">
        <f ca="1">INTERCEPT(INDIRECT($D$9):G992,INDIRECT($C$9):F992)</f>
        <v>2.5013286392649384E-2</v>
      </c>
      <c r="D11" s="45"/>
    </row>
    <row r="12" spans="1:6" s="44" customFormat="1" ht="12.95" customHeight="1" x14ac:dyDescent="0.2">
      <c r="A12" s="44" t="s">
        <v>17</v>
      </c>
      <c r="C12" s="56">
        <f ca="1">SLOPE(INDIRECT($D$9):G992,INDIRECT($C$9):F992)</f>
        <v>-3.7786416621033606E-7</v>
      </c>
      <c r="D12" s="45"/>
      <c r="E12" s="78" t="s">
        <v>59</v>
      </c>
      <c r="F12" s="79" t="s">
        <v>62</v>
      </c>
    </row>
    <row r="13" spans="1:6" s="44" customFormat="1" ht="12.95" customHeight="1" x14ac:dyDescent="0.2">
      <c r="A13" s="44" t="s">
        <v>19</v>
      </c>
      <c r="C13" s="45" t="s">
        <v>14</v>
      </c>
      <c r="E13" s="76" t="s">
        <v>34</v>
      </c>
      <c r="F13" s="80">
        <v>1</v>
      </c>
    </row>
    <row r="14" spans="1:6" s="44" customFormat="1" ht="12.95" customHeight="1" x14ac:dyDescent="0.2">
      <c r="E14" s="76" t="s">
        <v>31</v>
      </c>
      <c r="F14" s="81">
        <f ca="1">NOW()+15018.5+$C$5/24</f>
        <v>60682.84059594907</v>
      </c>
    </row>
    <row r="15" spans="1:6" s="44" customFormat="1" ht="12.95" customHeight="1" x14ac:dyDescent="0.2">
      <c r="A15" s="58" t="s">
        <v>18</v>
      </c>
      <c r="C15" s="59">
        <f ca="1">(C7+C11)+(C8+C12)*INT(MAX(F21:F3533))</f>
        <v>60473.576825501812</v>
      </c>
      <c r="E15" s="76" t="s">
        <v>35</v>
      </c>
      <c r="F15" s="81">
        <f ca="1">ROUND(2*($F$14-$C$7)/$C$8,0)/2+$F$13</f>
        <v>24028</v>
      </c>
    </row>
    <row r="16" spans="1:6" s="44" customFormat="1" ht="12.95" customHeight="1" x14ac:dyDescent="0.2">
      <c r="A16" s="46" t="s">
        <v>5</v>
      </c>
      <c r="C16" s="61">
        <f ca="1">+C8+C12</f>
        <v>0.26263262213583377</v>
      </c>
      <c r="E16" s="76" t="s">
        <v>36</v>
      </c>
      <c r="F16" s="81">
        <f ca="1">ROUND(2*($F$14-$C$15)/$C$16,0)/2+$F$13</f>
        <v>798</v>
      </c>
    </row>
    <row r="17" spans="1:21" s="44" customFormat="1" ht="12.95" customHeight="1" thickBot="1" x14ac:dyDescent="0.25">
      <c r="A17" s="60" t="s">
        <v>28</v>
      </c>
      <c r="C17" s="44">
        <f>COUNT(C21:C2191)</f>
        <v>18</v>
      </c>
      <c r="E17" s="76" t="s">
        <v>60</v>
      </c>
      <c r="F17" s="82">
        <f ca="1">+$C$15+$C$16*$F$16-15018.5-$C$5/24</f>
        <v>45665.053491299543</v>
      </c>
      <c r="R17" s="44">
        <f ca="1">SQRT(SUM(R21:R31)/COUNT(R21:R31))</f>
        <v>2.8891778891738648E-2</v>
      </c>
    </row>
    <row r="18" spans="1:21" s="44" customFormat="1" ht="12.95" customHeight="1" thickTop="1" thickBot="1" x14ac:dyDescent="0.25">
      <c r="A18" s="46" t="s">
        <v>6</v>
      </c>
      <c r="C18" s="62">
        <f ca="1">+C15</f>
        <v>60473.576825501812</v>
      </c>
      <c r="D18" s="84">
        <f ca="1">+C16</f>
        <v>0.26263262213583377</v>
      </c>
      <c r="E18" s="77" t="s">
        <v>61</v>
      </c>
      <c r="F18" s="83">
        <f ca="1">+($C$15+$C$16*$F$16)-($C$16/2)-15018.5-$C$5/24</f>
        <v>45664.922174988475</v>
      </c>
    </row>
    <row r="19" spans="1:21" s="44" customFormat="1" ht="12.95" customHeight="1" thickTop="1" x14ac:dyDescent="0.2">
      <c r="E19" s="60"/>
      <c r="F19" s="63"/>
    </row>
    <row r="20" spans="1:21" s="44" customFormat="1" ht="12.95" customHeight="1" thickBot="1" x14ac:dyDescent="0.25">
      <c r="A20" s="57" t="s">
        <v>7</v>
      </c>
      <c r="B20" s="57" t="s">
        <v>8</v>
      </c>
      <c r="C20" s="57" t="s">
        <v>9</v>
      </c>
      <c r="D20" s="57" t="s">
        <v>13</v>
      </c>
      <c r="E20" s="57" t="s">
        <v>10</v>
      </c>
      <c r="F20" s="57" t="s">
        <v>11</v>
      </c>
      <c r="G20" s="57" t="s">
        <v>12</v>
      </c>
      <c r="H20" s="64" t="s">
        <v>48</v>
      </c>
      <c r="I20" s="64" t="s">
        <v>49</v>
      </c>
      <c r="J20" s="64" t="s">
        <v>50</v>
      </c>
      <c r="K20" s="64" t="s">
        <v>51</v>
      </c>
      <c r="L20" s="64" t="s">
        <v>25</v>
      </c>
      <c r="M20" s="64" t="s">
        <v>26</v>
      </c>
      <c r="N20" s="64" t="s">
        <v>27</v>
      </c>
      <c r="O20" s="64" t="s">
        <v>23</v>
      </c>
      <c r="P20" s="65" t="s">
        <v>22</v>
      </c>
      <c r="Q20" s="57" t="s">
        <v>15</v>
      </c>
      <c r="R20" s="57"/>
      <c r="U20" s="66" t="s">
        <v>55</v>
      </c>
    </row>
    <row r="21" spans="1:21" s="44" customFormat="1" ht="12.95" customHeight="1" x14ac:dyDescent="0.2">
      <c r="A21" s="44" t="str">
        <f>D$7</f>
        <v>VSX</v>
      </c>
      <c r="C21" s="51">
        <f>C$7</f>
        <v>54372.595999999998</v>
      </c>
      <c r="D21" s="51" t="s">
        <v>14</v>
      </c>
      <c r="E21" s="44">
        <f t="shared" ref="E21:E30" si="0">+(C21-C$7)/C$8</f>
        <v>0</v>
      </c>
      <c r="F21" s="44">
        <f t="shared" ref="F21:F30" si="1">ROUND(2*E21,0)/2</f>
        <v>0</v>
      </c>
      <c r="G21" s="44">
        <f t="shared" ref="G21:G30" si="2">+C21-(C$7+F21*C$8)</f>
        <v>0</v>
      </c>
      <c r="I21" s="44">
        <f>+G21</f>
        <v>0</v>
      </c>
      <c r="O21" s="44">
        <f t="shared" ref="O21:O30" ca="1" si="3">+C$11+C$12*$F21</f>
        <v>2.5013286392649384E-2</v>
      </c>
      <c r="Q21" s="67">
        <f t="shared" ref="Q21:Q30" si="4">+C21-15018.5</f>
        <v>39354.095999999998</v>
      </c>
      <c r="R21" s="44">
        <f t="shared" ref="R21:R30" ca="1" si="5">(O21-G21)^2</f>
        <v>6.2566449616069885E-4</v>
      </c>
    </row>
    <row r="22" spans="1:21" s="44" customFormat="1" ht="12.95" customHeight="1" x14ac:dyDescent="0.2">
      <c r="A22" s="30" t="s">
        <v>42</v>
      </c>
      <c r="B22" s="31" t="s">
        <v>43</v>
      </c>
      <c r="C22" s="30">
        <v>55139.631200000003</v>
      </c>
      <c r="D22" s="30">
        <v>2.9999999999999997E-4</v>
      </c>
      <c r="E22" s="44">
        <f t="shared" si="0"/>
        <v>2920.5591071952331</v>
      </c>
      <c r="F22" s="44">
        <f t="shared" si="1"/>
        <v>2920.5</v>
      </c>
      <c r="G22" s="44">
        <f t="shared" si="2"/>
        <v>1.5523500005656388E-2</v>
      </c>
      <c r="K22" s="44">
        <f t="shared" ref="K22:K30" si="6">+G22</f>
        <v>1.5523500005656388E-2</v>
      </c>
      <c r="O22" s="44">
        <f t="shared" ca="1" si="3"/>
        <v>2.3909734095232098E-2</v>
      </c>
      <c r="Q22" s="67">
        <f t="shared" si="4"/>
        <v>40121.131200000003</v>
      </c>
      <c r="R22" s="44">
        <f t="shared" ca="1" si="5"/>
        <v>7.0328922205161744E-5</v>
      </c>
    </row>
    <row r="23" spans="1:21" s="44" customFormat="1" ht="12.95" customHeight="1" x14ac:dyDescent="0.2">
      <c r="A23" s="30" t="s">
        <v>42</v>
      </c>
      <c r="B23" s="31" t="s">
        <v>44</v>
      </c>
      <c r="C23" s="30">
        <v>55139.765299999999</v>
      </c>
      <c r="D23" s="30">
        <v>6.9999999999999999E-4</v>
      </c>
      <c r="E23" s="44">
        <f t="shared" si="0"/>
        <v>2921.0697056348645</v>
      </c>
      <c r="F23" s="44">
        <f t="shared" si="1"/>
        <v>2921</v>
      </c>
      <c r="G23" s="44">
        <f t="shared" si="2"/>
        <v>1.8306999998458195E-2</v>
      </c>
      <c r="K23" s="44">
        <f t="shared" si="6"/>
        <v>1.8306999998458195E-2</v>
      </c>
      <c r="O23" s="44">
        <f t="shared" ca="1" si="3"/>
        <v>2.3909545163148992E-2</v>
      </c>
      <c r="Q23" s="67">
        <f t="shared" si="4"/>
        <v>40121.265299999999</v>
      </c>
      <c r="R23" s="44">
        <f t="shared" ca="1" si="5"/>
        <v>3.138851232240022E-5</v>
      </c>
    </row>
    <row r="24" spans="1:21" s="44" customFormat="1" ht="12.95" customHeight="1" x14ac:dyDescent="0.2">
      <c r="A24" s="30" t="s">
        <v>45</v>
      </c>
      <c r="B24" s="31" t="s">
        <v>43</v>
      </c>
      <c r="C24" s="30">
        <v>55497.725100000003</v>
      </c>
      <c r="D24" s="30">
        <v>5.9999999999999995E-4</v>
      </c>
      <c r="E24" s="44">
        <f t="shared" si="0"/>
        <v>4284.0355172427135</v>
      </c>
      <c r="F24" s="44">
        <f t="shared" si="1"/>
        <v>4284</v>
      </c>
      <c r="G24" s="44">
        <f t="shared" si="2"/>
        <v>9.3280000073718838E-3</v>
      </c>
      <c r="K24" s="44">
        <f t="shared" si="6"/>
        <v>9.3280000073718838E-3</v>
      </c>
      <c r="O24" s="44">
        <f t="shared" ca="1" si="3"/>
        <v>2.3394516304604304E-2</v>
      </c>
      <c r="Q24" s="67">
        <f t="shared" si="4"/>
        <v>40479.225100000003</v>
      </c>
      <c r="R24" s="44">
        <f t="shared" ca="1" si="5"/>
        <v>1.9786688074030528E-4</v>
      </c>
    </row>
    <row r="25" spans="1:21" s="44" customFormat="1" ht="12.95" customHeight="1" x14ac:dyDescent="0.2">
      <c r="A25" s="30" t="s">
        <v>46</v>
      </c>
      <c r="B25" s="31" t="s">
        <v>43</v>
      </c>
      <c r="C25" s="30">
        <v>55868.718500000003</v>
      </c>
      <c r="D25" s="30">
        <v>5.0000000000000001E-4</v>
      </c>
      <c r="E25" s="44">
        <f t="shared" si="0"/>
        <v>5696.6279941972443</v>
      </c>
      <c r="F25" s="44">
        <f t="shared" si="1"/>
        <v>5696.5</v>
      </c>
      <c r="G25" s="44">
        <f t="shared" si="2"/>
        <v>3.3615500004088972E-2</v>
      </c>
      <c r="K25" s="44">
        <f t="shared" si="6"/>
        <v>3.3615500004088972E-2</v>
      </c>
      <c r="O25" s="44">
        <f t="shared" ca="1" si="3"/>
        <v>2.2860783169832206E-2</v>
      </c>
      <c r="Q25" s="67">
        <f t="shared" si="4"/>
        <v>40850.218500000003</v>
      </c>
      <c r="R25" s="44">
        <f t="shared" ca="1" si="5"/>
        <v>1.1566393418504586E-4</v>
      </c>
    </row>
    <row r="26" spans="1:21" s="44" customFormat="1" ht="12.95" customHeight="1" x14ac:dyDescent="0.2">
      <c r="A26" s="28" t="s">
        <v>47</v>
      </c>
      <c r="B26" s="31" t="s">
        <v>44</v>
      </c>
      <c r="C26" s="30">
        <v>56233.641600000003</v>
      </c>
      <c r="D26" s="30">
        <v>3.0000000000000003E-4</v>
      </c>
      <c r="E26" s="44">
        <f t="shared" si="0"/>
        <v>7086.1072294799396</v>
      </c>
      <c r="F26" s="44">
        <f t="shared" si="1"/>
        <v>7086</v>
      </c>
      <c r="G26" s="44">
        <f t="shared" si="2"/>
        <v>2.8162000002339482E-2</v>
      </c>
      <c r="K26" s="44">
        <f t="shared" si="6"/>
        <v>2.8162000002339482E-2</v>
      </c>
      <c r="O26" s="44">
        <f t="shared" ca="1" si="3"/>
        <v>2.2335740910882942E-2</v>
      </c>
      <c r="Q26" s="67">
        <f t="shared" si="4"/>
        <v>41215.141600000003</v>
      </c>
      <c r="R26" s="44">
        <f t="shared" ca="1" si="5"/>
        <v>3.3945295000779997E-5</v>
      </c>
    </row>
    <row r="27" spans="1:21" s="44" customFormat="1" ht="12.95" customHeight="1" x14ac:dyDescent="0.2">
      <c r="A27" s="28" t="s">
        <v>47</v>
      </c>
      <c r="B27" s="31" t="s">
        <v>43</v>
      </c>
      <c r="C27" s="30">
        <v>56233.769500000002</v>
      </c>
      <c r="D27" s="30">
        <v>5.0000000000000001E-4</v>
      </c>
      <c r="E27" s="44">
        <f t="shared" si="0"/>
        <v>7086.5942208328897</v>
      </c>
      <c r="F27" s="44">
        <f t="shared" si="1"/>
        <v>7086.5</v>
      </c>
      <c r="G27" s="44">
        <f t="shared" si="2"/>
        <v>2.4745500006247312E-2</v>
      </c>
      <c r="K27" s="44">
        <f t="shared" si="6"/>
        <v>2.4745500006247312E-2</v>
      </c>
      <c r="O27" s="44">
        <f t="shared" ca="1" si="3"/>
        <v>2.2335551978799838E-2</v>
      </c>
      <c r="Q27" s="67">
        <f t="shared" si="4"/>
        <v>41215.269500000002</v>
      </c>
      <c r="R27" s="44">
        <f t="shared" ca="1" si="5"/>
        <v>5.8078494949979682E-6</v>
      </c>
    </row>
    <row r="28" spans="1:21" s="44" customFormat="1" ht="12.95" customHeight="1" x14ac:dyDescent="0.2">
      <c r="A28" s="29" t="s">
        <v>53</v>
      </c>
      <c r="C28" s="51">
        <v>57615.773200000003</v>
      </c>
      <c r="D28" s="51">
        <v>2.0000000000000001E-4</v>
      </c>
      <c r="E28" s="44">
        <f t="shared" si="0"/>
        <v>12348.704085168298</v>
      </c>
      <c r="F28" s="44">
        <f t="shared" si="1"/>
        <v>12348.5</v>
      </c>
      <c r="G28" s="44">
        <f t="shared" si="2"/>
        <v>5.3599500002746936E-2</v>
      </c>
      <c r="K28" s="44">
        <f t="shared" si="6"/>
        <v>5.3599500002746936E-2</v>
      </c>
      <c r="O28" s="44">
        <f t="shared" ca="1" si="3"/>
        <v>2.0347230736201049E-2</v>
      </c>
      <c r="Q28" s="67">
        <f t="shared" si="4"/>
        <v>42597.273200000003</v>
      </c>
      <c r="R28" s="44">
        <f t="shared" ca="1" si="5"/>
        <v>1.1057134113748718E-3</v>
      </c>
    </row>
    <row r="29" spans="1:21" s="44" customFormat="1" ht="12.95" customHeight="1" x14ac:dyDescent="0.2">
      <c r="A29" s="68" t="s">
        <v>0</v>
      </c>
      <c r="B29" s="69" t="s">
        <v>43</v>
      </c>
      <c r="C29" s="70">
        <v>58011.305699999997</v>
      </c>
      <c r="D29" s="70">
        <v>1E-4</v>
      </c>
      <c r="E29" s="44">
        <f t="shared" si="0"/>
        <v>13854.731507464787</v>
      </c>
      <c r="F29" s="44">
        <f t="shared" si="1"/>
        <v>13854.5</v>
      </c>
      <c r="G29" s="44">
        <f t="shared" si="2"/>
        <v>6.0801499996159691E-2</v>
      </c>
      <c r="K29" s="44">
        <f t="shared" si="6"/>
        <v>6.0801499996159691E-2</v>
      </c>
      <c r="O29" s="44">
        <f t="shared" ca="1" si="3"/>
        <v>1.9778167301888284E-2</v>
      </c>
      <c r="Q29" s="67">
        <f t="shared" si="4"/>
        <v>42992.805699999997</v>
      </c>
      <c r="R29" s="44">
        <f t="shared" ca="1" si="5"/>
        <v>1.6829138253448774E-3</v>
      </c>
    </row>
    <row r="30" spans="1:21" s="44" customFormat="1" ht="12.95" customHeight="1" x14ac:dyDescent="0.2">
      <c r="A30" s="68" t="s">
        <v>0</v>
      </c>
      <c r="B30" s="69" t="s">
        <v>43</v>
      </c>
      <c r="C30" s="70">
        <v>58011.438499999997</v>
      </c>
      <c r="D30" s="70">
        <v>2.5000000000000001E-3</v>
      </c>
      <c r="E30" s="44">
        <f t="shared" si="0"/>
        <v>13855.237156031415</v>
      </c>
      <c r="F30" s="44">
        <f t="shared" si="1"/>
        <v>13855</v>
      </c>
      <c r="G30" s="44">
        <f t="shared" si="2"/>
        <v>6.2284999999974389E-2</v>
      </c>
      <c r="K30" s="44">
        <f t="shared" si="6"/>
        <v>6.2284999999974389E-2</v>
      </c>
      <c r="O30" s="44">
        <f t="shared" ca="1" si="3"/>
        <v>1.9777978369805178E-2</v>
      </c>
      <c r="Q30" s="67">
        <f t="shared" si="4"/>
        <v>42992.938499999997</v>
      </c>
      <c r="R30" s="44">
        <f t="shared" ca="1" si="5"/>
        <v>1.8068468878676735E-3</v>
      </c>
    </row>
    <row r="31" spans="1:21" s="44" customFormat="1" ht="12.95" customHeight="1" x14ac:dyDescent="0.2">
      <c r="A31" s="46" t="s">
        <v>54</v>
      </c>
      <c r="C31" s="51">
        <v>58724.778299999998</v>
      </c>
      <c r="D31" s="51">
        <v>2.9999999999999997E-4</v>
      </c>
      <c r="E31" s="44">
        <f t="shared" ref="E31:E36" si="7">+(C31-C$7)/C$8</f>
        <v>16571.345946625141</v>
      </c>
      <c r="F31" s="44">
        <f t="shared" ref="F31:F36" si="8">ROUND(2*E31,0)/2</f>
        <v>16571.5</v>
      </c>
      <c r="G31" s="44">
        <f t="shared" ref="G31:G36" si="9">+C31-(C$7+F31*C$8)</f>
        <v>-4.0459499999997206E-2</v>
      </c>
      <c r="K31" s="44">
        <f t="shared" ref="K31:K36" si="10">+G31</f>
        <v>-4.0459499999997206E-2</v>
      </c>
      <c r="O31" s="44">
        <f t="shared" ref="O31:O36" ca="1" si="11">+C$11+C$12*$F31</f>
        <v>1.8751510362294801E-2</v>
      </c>
      <c r="Q31" s="67">
        <f t="shared" ref="Q31:Q36" si="12">+C31-15018.5</f>
        <v>43706.278299999998</v>
      </c>
      <c r="R31" s="44">
        <f t="shared" ref="R31:R36" ca="1" si="13">(O31-G31)^2</f>
        <v>3.5059437481234517E-3</v>
      </c>
      <c r="U31" s="44">
        <f>+C31-(C$7+F31*C$8)</f>
        <v>-4.0459499999997206E-2</v>
      </c>
    </row>
    <row r="32" spans="1:21" s="44" customFormat="1" ht="12.95" customHeight="1" x14ac:dyDescent="0.2">
      <c r="A32" s="39" t="s">
        <v>57</v>
      </c>
      <c r="B32" s="40" t="s">
        <v>43</v>
      </c>
      <c r="C32" s="42">
        <v>59108.424899999998</v>
      </c>
      <c r="D32" s="43">
        <v>1.5E-3</v>
      </c>
      <c r="E32" s="44">
        <f t="shared" si="7"/>
        <v>18032.11667992979</v>
      </c>
      <c r="F32" s="44">
        <f t="shared" si="8"/>
        <v>18032</v>
      </c>
      <c r="G32" s="44">
        <f t="shared" si="9"/>
        <v>3.0643999998574145E-2</v>
      </c>
      <c r="K32" s="44">
        <f t="shared" si="10"/>
        <v>3.0643999998574145E-2</v>
      </c>
      <c r="O32" s="44">
        <f t="shared" ca="1" si="11"/>
        <v>1.8199639747544606E-2</v>
      </c>
      <c r="Q32" s="67">
        <f t="shared" si="12"/>
        <v>44089.924899999998</v>
      </c>
      <c r="R32" s="44">
        <f t="shared" ca="1" si="13"/>
        <v>1.5486210205740397E-4</v>
      </c>
    </row>
    <row r="33" spans="1:18" x14ac:dyDescent="0.2">
      <c r="A33" s="39" t="s">
        <v>57</v>
      </c>
      <c r="B33" s="40" t="s">
        <v>43</v>
      </c>
      <c r="C33" s="42">
        <v>59108.555800000002</v>
      </c>
      <c r="D33" s="43">
        <v>1.6000000000000001E-3</v>
      </c>
      <c r="E33">
        <f t="shared" si="7"/>
        <v>18032.615094066641</v>
      </c>
      <c r="F33">
        <f t="shared" si="8"/>
        <v>18032.5</v>
      </c>
      <c r="G33">
        <f t="shared" si="9"/>
        <v>3.0227500006731134E-2</v>
      </c>
      <c r="K33">
        <f t="shared" si="10"/>
        <v>3.0227500006731134E-2</v>
      </c>
      <c r="O33">
        <f t="shared" ca="1" si="11"/>
        <v>1.8199450815461499E-2</v>
      </c>
      <c r="Q33" s="2">
        <f t="shared" si="12"/>
        <v>44090.055800000002</v>
      </c>
      <c r="R33">
        <f t="shared" ca="1" si="13"/>
        <v>1.4467396734760212E-4</v>
      </c>
    </row>
    <row r="34" spans="1:18" x14ac:dyDescent="0.2">
      <c r="A34" s="39" t="s">
        <v>57</v>
      </c>
      <c r="B34" s="40" t="s">
        <v>43</v>
      </c>
      <c r="C34" s="42">
        <v>59482.391900000002</v>
      </c>
      <c r="D34" s="43">
        <v>8.9999999999999998E-4</v>
      </c>
      <c r="E34">
        <f t="shared" si="7"/>
        <v>19456.031420270891</v>
      </c>
      <c r="F34">
        <f t="shared" si="8"/>
        <v>19456</v>
      </c>
      <c r="G34">
        <f t="shared" si="9"/>
        <v>8.2520000069052912E-3</v>
      </c>
      <c r="K34">
        <f t="shared" si="10"/>
        <v>8.2520000069052912E-3</v>
      </c>
      <c r="O34">
        <f t="shared" ca="1" si="11"/>
        <v>1.7661561174861087E-2</v>
      </c>
      <c r="Q34" s="2">
        <f t="shared" si="12"/>
        <v>44463.891900000002</v>
      </c>
      <c r="R34">
        <f t="shared" ca="1" si="13"/>
        <v>8.8539841373501632E-5</v>
      </c>
    </row>
    <row r="35" spans="1:18" x14ac:dyDescent="0.2">
      <c r="A35" s="39" t="s">
        <v>57</v>
      </c>
      <c r="B35" s="40" t="s">
        <v>43</v>
      </c>
      <c r="C35" s="42">
        <v>59482.522900000004</v>
      </c>
      <c r="D35" s="43">
        <v>1.2999999999999999E-3</v>
      </c>
      <c r="E35">
        <f t="shared" si="7"/>
        <v>19456.530215167193</v>
      </c>
      <c r="F35">
        <f t="shared" si="8"/>
        <v>19456.5</v>
      </c>
      <c r="G35">
        <f t="shared" si="9"/>
        <v>7.9355000052601099E-3</v>
      </c>
      <c r="K35">
        <f t="shared" si="10"/>
        <v>7.9355000052601099E-3</v>
      </c>
      <c r="O35">
        <f t="shared" ca="1" si="11"/>
        <v>1.766137224277798E-2</v>
      </c>
      <c r="Q35" s="2">
        <f t="shared" si="12"/>
        <v>44464.022900000004</v>
      </c>
      <c r="R35">
        <f t="shared" ca="1" si="13"/>
        <v>9.4592590780520863E-5</v>
      </c>
    </row>
    <row r="36" spans="1:18" x14ac:dyDescent="0.2">
      <c r="A36" s="39" t="s">
        <v>57</v>
      </c>
      <c r="B36" s="40" t="s">
        <v>43</v>
      </c>
      <c r="C36" s="42">
        <v>59482.650300000001</v>
      </c>
      <c r="D36" s="43">
        <v>4.0000000000000002E-4</v>
      </c>
      <c r="E36">
        <f t="shared" si="7"/>
        <v>19457.015302722823</v>
      </c>
      <c r="F36">
        <f t="shared" si="8"/>
        <v>19457</v>
      </c>
      <c r="G36">
        <f t="shared" si="9"/>
        <v>4.0190000072470866E-3</v>
      </c>
      <c r="K36">
        <f t="shared" si="10"/>
        <v>4.0190000072470866E-3</v>
      </c>
      <c r="O36">
        <f t="shared" ca="1" si="11"/>
        <v>1.7661183310694877E-2</v>
      </c>
      <c r="Q36" s="2">
        <f t="shared" si="12"/>
        <v>44464.150300000001</v>
      </c>
      <c r="R36">
        <f t="shared" ca="1" si="13"/>
        <v>1.8610916528486964E-4</v>
      </c>
    </row>
    <row r="37" spans="1:18" x14ac:dyDescent="0.2">
      <c r="A37" s="85" t="s">
        <v>63</v>
      </c>
      <c r="B37" s="73" t="s">
        <v>43</v>
      </c>
      <c r="C37" s="86">
        <v>60170.415899999905</v>
      </c>
      <c r="D37" s="85">
        <v>2.0000000000000001E-4</v>
      </c>
      <c r="E37">
        <f t="shared" ref="E37:E38" si="14">+(C37-C$7)/C$8</f>
        <v>22075.747906774501</v>
      </c>
      <c r="F37">
        <f t="shared" ref="F37:F38" si="15">ROUND(2*E37,0)/2</f>
        <v>22075.5</v>
      </c>
      <c r="G37">
        <f t="shared" ref="G37:G38" si="16">+C37-(C$7+F37*C$8)</f>
        <v>6.510849990445422E-2</v>
      </c>
      <c r="K37">
        <f t="shared" ref="K37:K38" si="17">+G37</f>
        <v>6.510849990445422E-2</v>
      </c>
      <c r="O37">
        <f t="shared" ref="O37:O38" ca="1" si="18">+C$11+C$12*$F37</f>
        <v>1.667174599147311E-2</v>
      </c>
      <c r="Q37" s="2">
        <f t="shared" ref="Q37:Q38" si="19">+C37-15018.5</f>
        <v>45151.915899999905</v>
      </c>
      <c r="R37">
        <f t="shared" ref="R37:R38" ca="1" si="20">(O37-G37)^2</f>
        <v>2.3461191296266907E-3</v>
      </c>
    </row>
    <row r="38" spans="1:18" x14ac:dyDescent="0.2">
      <c r="A38" s="85" t="s">
        <v>63</v>
      </c>
      <c r="B38" s="73" t="s">
        <v>43</v>
      </c>
      <c r="C38" s="86">
        <v>60473.513199999928</v>
      </c>
      <c r="D38" s="85">
        <v>1E-4</v>
      </c>
      <c r="E38">
        <f t="shared" si="14"/>
        <v>23229.819558090305</v>
      </c>
      <c r="F38">
        <f t="shared" si="15"/>
        <v>23230</v>
      </c>
      <c r="G38">
        <f t="shared" si="16"/>
        <v>-4.7390000072482508E-2</v>
      </c>
      <c r="K38">
        <f t="shared" si="17"/>
        <v>-4.7390000072482508E-2</v>
      </c>
      <c r="O38">
        <f t="shared" ca="1" si="18"/>
        <v>1.6235501811583279E-2</v>
      </c>
      <c r="Q38" s="2">
        <f t="shared" si="19"/>
        <v>45455.013199999928</v>
      </c>
      <c r="R38">
        <f t="shared" ca="1" si="20"/>
        <v>4.0482044899992596E-3</v>
      </c>
    </row>
    <row r="39" spans="1:18" x14ac:dyDescent="0.2">
      <c r="C39" s="8"/>
      <c r="D39" s="8"/>
    </row>
    <row r="40" spans="1:18" x14ac:dyDescent="0.2">
      <c r="C40" s="8"/>
      <c r="D40" s="8"/>
    </row>
    <row r="41" spans="1:18" x14ac:dyDescent="0.2">
      <c r="C41" s="8"/>
      <c r="D41" s="8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55" r:id="rId1" display="http://vsolj.cetus-net.org/bulletin.html" xr:uid="{00000000-0004-0000-0200-000000000000}"/>
    <hyperlink ref="H63348" r:id="rId2" display="https://www.aavso.org/ejaavso" xr:uid="{00000000-0004-0000-0200-000001000000}"/>
    <hyperlink ref="AP206" r:id="rId3" display="http://cdsbib.u-strasbg.fr/cgi-bin/cdsbib?1990RMxAA..21..381G" xr:uid="{00000000-0004-0000-0200-000002000000}"/>
    <hyperlink ref="AP203" r:id="rId4" display="http://cdsbib.u-strasbg.fr/cgi-bin/cdsbib?1990RMxAA..21..381G" xr:uid="{00000000-0004-0000-0200-000003000000}"/>
    <hyperlink ref="AP205" r:id="rId5" display="http://cdsbib.u-strasbg.fr/cgi-bin/cdsbib?1990RMxAA..21..381G" xr:uid="{00000000-0004-0000-0200-000004000000}"/>
    <hyperlink ref="AP181" r:id="rId6" display="http://cdsbib.u-strasbg.fr/cgi-bin/cdsbib?1990RMxAA..21..381G" xr:uid="{00000000-0004-0000-0200-000005000000}"/>
    <hyperlink ref="I63355" r:id="rId7" display="http://vsolj.cetus-net.org/bulletin.html" xr:uid="{00000000-0004-0000-0200-000006000000}"/>
    <hyperlink ref="AQ342" r:id="rId8" display="http://cdsbib.u-strasbg.fr/cgi-bin/cdsbib?1990RMxAA..21..381G" xr:uid="{00000000-0004-0000-0200-000007000000}"/>
    <hyperlink ref="AQ1986" r:id="rId9" display="http://cdsbib.u-strasbg.fr/cgi-bin/cdsbib?1990RMxAA..21..381G" xr:uid="{00000000-0004-0000-0200-000008000000}"/>
    <hyperlink ref="AQ343" r:id="rId10" display="http://cdsbib.u-strasbg.fr/cgi-bin/cdsbib?1990RMxAA..21..381G" xr:uid="{00000000-0004-0000-0200-000009000000}"/>
    <hyperlink ref="H63352" r:id="rId11" display="https://www.aavso.org/ejaavso" xr:uid="{00000000-0004-0000-0200-00000A000000}"/>
    <hyperlink ref="H1193" r:id="rId12" display="http://vsolj.cetus-net.org/bulletin.html" xr:uid="{00000000-0004-0000-0200-00000B000000}"/>
    <hyperlink ref="AP4431" r:id="rId13" display="http://cdsbib.u-strasbg.fr/cgi-bin/cdsbib?1990RMxAA..21..381G" xr:uid="{00000000-0004-0000-0200-00000C000000}"/>
    <hyperlink ref="AP4434" r:id="rId14" display="http://cdsbib.u-strasbg.fr/cgi-bin/cdsbib?1990RMxAA..21..381G" xr:uid="{00000000-0004-0000-0200-00000D000000}"/>
    <hyperlink ref="AP4432" r:id="rId15" display="http://cdsbib.u-strasbg.fr/cgi-bin/cdsbib?1990RMxAA..21..381G" xr:uid="{00000000-0004-0000-0200-00000E000000}"/>
    <hyperlink ref="AP4410" r:id="rId16" display="http://cdsbib.u-strasbg.fr/cgi-bin/cdsbib?1990RMxAA..21..381G" xr:uid="{00000000-0004-0000-0200-00000F000000}"/>
    <hyperlink ref="I1193" r:id="rId17" display="http://vsolj.cetus-net.org/bulletin.html" xr:uid="{00000000-0004-0000-0200-000010000000}"/>
    <hyperlink ref="AQ4544" r:id="rId18" display="http://cdsbib.u-strasbg.fr/cgi-bin/cdsbib?1990RMxAA..21..381G" xr:uid="{00000000-0004-0000-0200-000011000000}"/>
    <hyperlink ref="AQ64632" r:id="rId19" display="http://cdsbib.u-strasbg.fr/cgi-bin/cdsbib?1990RMxAA..21..381G" xr:uid="{00000000-0004-0000-0200-000012000000}"/>
    <hyperlink ref="AQ4545" r:id="rId20" display="http://cdsbib.u-strasbg.fr/cgi-bin/cdsbib?1990RMxAA..21..381G" xr:uid="{00000000-0004-0000-02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2025-01-07T07:10:27Z</dcterms:modified>
</cp:coreProperties>
</file>