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68DE1D-22BA-4468-ACE5-82D7AEF65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E29" i="1"/>
  <c r="F29" i="1" s="1"/>
  <c r="G29" i="1" s="1"/>
  <c r="K29" i="1" s="1"/>
  <c r="Q29" i="1"/>
  <c r="F14" i="1"/>
  <c r="E28" i="1"/>
  <c r="F28" i="1" s="1"/>
  <c r="G28" i="1" s="1"/>
  <c r="K28" i="1" s="1"/>
  <c r="Q28" i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3" i="1"/>
  <c r="F23" i="1" s="1"/>
  <c r="G23" i="1" s="1"/>
  <c r="J23" i="1" s="1"/>
  <c r="E27" i="1"/>
  <c r="F27" i="1" s="1"/>
  <c r="G27" i="1" s="1"/>
  <c r="K27" i="1" s="1"/>
  <c r="E22" i="1"/>
  <c r="F22" i="1" s="1"/>
  <c r="G22" i="1" s="1"/>
  <c r="K22" i="1" s="1"/>
  <c r="Q24" i="1"/>
  <c r="Q25" i="1"/>
  <c r="Q26" i="1"/>
  <c r="D9" i="1"/>
  <c r="C9" i="1"/>
  <c r="Q27" i="1"/>
  <c r="Q23" i="1"/>
  <c r="C17" i="1"/>
  <c r="Q22" i="1"/>
  <c r="C11" i="1"/>
  <c r="C12" i="1"/>
  <c r="O21" i="1" l="1"/>
  <c r="O29" i="1"/>
  <c r="F15" i="1"/>
  <c r="C15" i="1"/>
  <c r="O27" i="1"/>
  <c r="O24" i="1"/>
  <c r="O28" i="1"/>
  <c r="O25" i="1"/>
  <c r="O26" i="1"/>
  <c r="O23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<sst xmlns="http://schemas.openxmlformats.org/spreadsheetml/2006/main" count="71" uniqueCount="58">
  <si>
    <t>IBVS 6244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</si>
  <si>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</si>
  <si>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</si>
  <si>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</si>
  <si>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</si>
  <si>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</si>
  <si>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</si>
  <si>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</si>
  <si>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</si>
  <si>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</si>
  <si>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</si>
  <si>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</si>
  <si>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</si>
  <si>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</si>
  <si>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</si>
  <si>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</si>
  <si>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</si>
  <si>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</si>
  <si>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</si>
  <si>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</si>
  <si>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</si>
  <si>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</si>
  <si>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</si>
  <si>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</si>
  <si>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</si>
  <si>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</si>
  <si>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</si>
  <si>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</si>
  <si>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</si>
  <si>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</si>
  <si>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</si>
  <si>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</si>
  <si>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</si>
  <si>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</si>
  <si>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</si>
  <si>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</si>
  <si>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</si>
  <si>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</si>
  <si>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Kreiner</t>
  </si>
  <si>
    <t>IBVS 5918</t>
  </si>
  <si>
    <t>I</t>
  </si>
  <si>
    <t>not avail.</t>
  </si>
  <si>
    <t>V0570 Per / GSC 3314-1225</t>
  </si>
  <si>
    <t>G3314-1225</t>
  </si>
  <si>
    <t>IBVS 6196</t>
  </si>
  <si>
    <t>vis</t>
  </si>
  <si>
    <t>PE</t>
  </si>
  <si>
    <t>CCD</t>
  </si>
  <si>
    <t>IBVS 6048</t>
  </si>
  <si>
    <t>IBVS 6070</t>
  </si>
  <si>
    <t>JBAV 96</t>
  </si>
  <si>
    <t xml:space="preserve">Mag </t>
  </si>
  <si>
    <t>Next ToM-P</t>
  </si>
  <si>
    <t>Next ToM-S</t>
  </si>
  <si>
    <t>8.05-8.17</t>
  </si>
  <si>
    <t>VSX</t>
  </si>
  <si>
    <t>EA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</si>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</sst>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30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29" fillId="0" borderId="0" xfId="42" applyFont="1" applyAlignment="1">
      <alignment vertical="center"/>
    </xf>
    <xf numFmtId="0" fontId="29" fillId="0" borderId="0" xfId="42" applyFont="1" applyAlignment="1">
      <alignment horizontal="center" vertical="center" wrapText="1"/>
    </xf>
    <xf numFmtId="0" fontId="29" fillId="0" borderId="0" xfId="42" applyFont="1" applyAlignment="1">
      <alignment horizontal="left" vertical="center" wrapText="1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0" fillId="24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22" fontId="34" fillId="0" borderId="18" xfId="0" applyNumberFormat="1" applyFont="1" applyBorder="1" applyAlignment="1">
      <alignment horizontal="right" vertical="center"/>
    </xf>
    <xf numFmtId="0" fontId="30" fillId="24" borderId="14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0" fillId="0" borderId="13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 Per - O-C Diagr.</a:t>
            </a:r>
          </a:p>
        </c:rich>
      </c:tx>
      <c:layout>
        <c:manualLayout>
          <c:xMode val="edge"/>
          <c:yMode val="edge"/>
          <c:x val="0.377443609022556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210526315789473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99-4F04-8AD3-EF5640801F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99-4F04-8AD3-EF5640801F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1.313600005232729E-3</c:v>
                </c:pt>
                <c:pt idx="3">
                  <c:v>2.2463999994215555E-3</c:v>
                </c:pt>
                <c:pt idx="4">
                  <c:v>8.1702000024961308E-3</c:v>
                </c:pt>
                <c:pt idx="5">
                  <c:v>6.1444000020856038E-3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99-4F04-8AD3-EF5640801F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2.1420000120997429E-4</c:v>
                </c:pt>
                <c:pt idx="6">
                  <c:v>7.4643000043579377E-3</c:v>
                </c:pt>
                <c:pt idx="7">
                  <c:v>2.4233000003732741E-3</c:v>
                </c:pt>
                <c:pt idx="8">
                  <c:v>7.3240001656813547E-3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99-4F04-8AD3-EF5640801F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99-4F04-8AD3-EF5640801F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99-4F04-8AD3-EF5640801F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5.9999999999999995E-4</c:v>
                  </c:pt>
                  <c:pt idx="6">
                    <c:v>3.3999999999999998E-3</c:v>
                  </c:pt>
                  <c:pt idx="7">
                    <c:v>2E-3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99-4F04-8AD3-EF5640801F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2.1498943391765404E-4</c:v>
                </c:pt>
                <c:pt idx="1">
                  <c:v>7.7879878834695242E-4</c:v>
                </c:pt>
                <c:pt idx="2">
                  <c:v>2.9580368260000087E-3</c:v>
                </c:pt>
                <c:pt idx="3">
                  <c:v>4.0114235822378205E-3</c:v>
                </c:pt>
                <c:pt idx="4">
                  <c:v>4.1722594795828545E-3</c:v>
                </c:pt>
                <c:pt idx="5">
                  <c:v>4.2058406010065438E-3</c:v>
                </c:pt>
                <c:pt idx="6">
                  <c:v>5.2760179179561989E-3</c:v>
                </c:pt>
                <c:pt idx="7">
                  <c:v>5.7267119160109674E-3</c:v>
                </c:pt>
                <c:pt idx="8">
                  <c:v>7.9563216357995577E-3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99-4F04-8AD3-EF5640801F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</c:v>
                </c:pt>
                <c:pt idx="2">
                  <c:v>1552</c:v>
                </c:pt>
                <c:pt idx="3">
                  <c:v>2148</c:v>
                </c:pt>
                <c:pt idx="4">
                  <c:v>2239</c:v>
                </c:pt>
                <c:pt idx="5">
                  <c:v>2258</c:v>
                </c:pt>
                <c:pt idx="6">
                  <c:v>2863.5</c:v>
                </c:pt>
                <c:pt idx="7">
                  <c:v>3118.5</c:v>
                </c:pt>
                <c:pt idx="8">
                  <c:v>4380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99-4F04-8AD3-EF5640801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06216"/>
        <c:axId val="1"/>
      </c:scatterChart>
      <c:valAx>
        <c:axId val="72460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0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353383458646616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0FF3C5-96BA-9B93-0DA3-A9E2C5B01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  <c r="E1" s="3"/>
      <c r="F1" t="s">
        <v>43</v>
      </c>
    </row>
    <row r="2" spans="1:6" s="6" customFormat="1" ht="12.95" customHeight="1" x14ac:dyDescent="0.2">
      <c r="A2" s="6" t="s">
        <v>25</v>
      </c>
      <c r="B2" s="49" t="s">
        <v>56</v>
      </c>
      <c r="C2" s="7"/>
      <c r="D2" s="7"/>
      <c r="E2" s="6">
        <v>0</v>
      </c>
    </row>
    <row r="3" spans="1:6" s="6" customFormat="1" ht="12.95" customHeight="1" thickBot="1" x14ac:dyDescent="0.25"/>
    <row r="4" spans="1:6" s="6" customFormat="1" ht="12.95" customHeight="1" thickBot="1" x14ac:dyDescent="0.25">
      <c r="A4" s="8" t="s">
        <v>2</v>
      </c>
      <c r="C4" s="9" t="s">
        <v>41</v>
      </c>
      <c r="D4" s="10" t="s">
        <v>41</v>
      </c>
    </row>
    <row r="5" spans="1:6" s="6" customFormat="1" ht="12.95" customHeight="1" x14ac:dyDescent="0.2">
      <c r="A5" s="11" t="s">
        <v>30</v>
      </c>
      <c r="C5" s="12">
        <v>-9.5</v>
      </c>
      <c r="D5" s="6" t="s">
        <v>31</v>
      </c>
    </row>
    <row r="6" spans="1:6" s="6" customFormat="1" ht="12.95" customHeight="1" x14ac:dyDescent="0.2">
      <c r="A6" s="8" t="s">
        <v>3</v>
      </c>
      <c r="E6" s="53" t="s">
        <v>57</v>
      </c>
      <c r="F6" s="50"/>
    </row>
    <row r="7" spans="1:6" s="6" customFormat="1" ht="12.95" customHeight="1" x14ac:dyDescent="0.2">
      <c r="A7" s="6" t="s">
        <v>4</v>
      </c>
      <c r="C7" s="6">
        <v>51895.237099999998</v>
      </c>
      <c r="D7" s="13" t="s">
        <v>55</v>
      </c>
      <c r="E7" s="40">
        <v>52501.636599999998</v>
      </c>
      <c r="F7" s="51" t="s">
        <v>38</v>
      </c>
    </row>
    <row r="8" spans="1:6" s="6" customFormat="1" ht="12.95" customHeight="1" x14ac:dyDescent="0.2">
      <c r="A8" s="6" t="s">
        <v>5</v>
      </c>
      <c r="C8" s="6">
        <v>1.9009381999999999</v>
      </c>
      <c r="D8" s="13" t="s">
        <v>55</v>
      </c>
      <c r="E8" s="54">
        <v>1.9009312</v>
      </c>
      <c r="F8" s="52" t="s">
        <v>38</v>
      </c>
    </row>
    <row r="9" spans="1:6" s="6" customFormat="1" ht="12.95" customHeight="1" x14ac:dyDescent="0.2">
      <c r="A9" s="3" t="s">
        <v>34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6" customFormat="1" ht="12.95" customHeight="1" thickBot="1" x14ac:dyDescent="0.25">
      <c r="C10" s="17" t="s">
        <v>21</v>
      </c>
      <c r="D10" s="17" t="s">
        <v>22</v>
      </c>
    </row>
    <row r="11" spans="1:6" s="6" customFormat="1" ht="12.95" customHeight="1" x14ac:dyDescent="0.2">
      <c r="A11" s="6" t="s">
        <v>17</v>
      </c>
      <c r="C11" s="16">
        <f ca="1">INTERCEPT(INDIRECT($D$9):G992,INDIRECT($C$9):F992)</f>
        <v>2.1498943391765404E-4</v>
      </c>
      <c r="D11" s="7"/>
    </row>
    <row r="12" spans="1:6" s="6" customFormat="1" ht="12.95" customHeight="1" x14ac:dyDescent="0.2">
      <c r="A12" s="6" t="s">
        <v>18</v>
      </c>
      <c r="C12" s="16">
        <f ca="1">SLOPE(INDIRECT($D$9):G992,INDIRECT($C$9):F992)</f>
        <v>1.7674274433520325E-6</v>
      </c>
      <c r="D12" s="7"/>
      <c r="E12" s="43" t="s">
        <v>51</v>
      </c>
      <c r="F12" s="48" t="s">
        <v>54</v>
      </c>
    </row>
    <row r="13" spans="1:6" s="6" customFormat="1" ht="12.95" customHeight="1" x14ac:dyDescent="0.2">
      <c r="A13" s="6" t="s">
        <v>20</v>
      </c>
      <c r="C13" s="7" t="s">
        <v>15</v>
      </c>
      <c r="E13" s="41" t="s">
        <v>36</v>
      </c>
      <c r="F13" s="44">
        <v>1</v>
      </c>
    </row>
    <row r="14" spans="1:6" s="6" customFormat="1" ht="12.95" customHeight="1" x14ac:dyDescent="0.2">
      <c r="E14" s="41" t="s">
        <v>32</v>
      </c>
      <c r="F14" s="45">
        <f ca="1">NOW()+15018.5+$C$5/24</f>
        <v>60682.859030671294</v>
      </c>
    </row>
    <row r="15" spans="1:6" s="6" customFormat="1" ht="12.95" customHeight="1" x14ac:dyDescent="0.2">
      <c r="A15" s="18" t="s">
        <v>19</v>
      </c>
      <c r="C15" s="19">
        <f ca="1">(C7+C11)+(C8+C12)*INT(MAX(F21:F3533))</f>
        <v>60221.354372321635</v>
      </c>
      <c r="E15" s="41" t="s">
        <v>37</v>
      </c>
      <c r="F15" s="45">
        <f ca="1">ROUND(2*($F$14-$C$7)/$C$8,0)/2+$F$13</f>
        <v>4624</v>
      </c>
    </row>
    <row r="16" spans="1:6" s="6" customFormat="1" ht="12.95" customHeight="1" x14ac:dyDescent="0.2">
      <c r="A16" s="8" t="s">
        <v>6</v>
      </c>
      <c r="C16" s="20">
        <f ca="1">+C8+C12</f>
        <v>1.9009399674274432</v>
      </c>
      <c r="E16" s="41" t="s">
        <v>33</v>
      </c>
      <c r="F16" s="45">
        <f ca="1">ROUND(2*($F$14-$C$15)/$C$16,0)/2+$F$13</f>
        <v>244</v>
      </c>
    </row>
    <row r="17" spans="1:21" s="6" customFormat="1" ht="12.95" customHeight="1" thickBot="1" x14ac:dyDescent="0.25">
      <c r="A17" s="13" t="s">
        <v>29</v>
      </c>
      <c r="C17" s="6">
        <f>COUNT(C21:C2191)</f>
        <v>9</v>
      </c>
      <c r="E17" s="41" t="s">
        <v>52</v>
      </c>
      <c r="F17" s="46">
        <f ca="1">+$C$15+$C$16*$F$16-15018.5-$C$5/24</f>
        <v>45667.079557707264</v>
      </c>
    </row>
    <row r="18" spans="1:21" s="6" customFormat="1" ht="12.95" customHeight="1" thickTop="1" thickBot="1" x14ac:dyDescent="0.25">
      <c r="A18" s="8" t="s">
        <v>7</v>
      </c>
      <c r="C18" s="21">
        <f ca="1">+C15</f>
        <v>60221.354372321635</v>
      </c>
      <c r="D18" s="39">
        <f ca="1">+C16</f>
        <v>1.9009399674274432</v>
      </c>
      <c r="E18" s="42" t="s">
        <v>53</v>
      </c>
      <c r="F18" s="47">
        <f ca="1">+($C$15+$C$16*$F$16)-($C$16/2)-15018.5-$C$5/24</f>
        <v>45666.129087723551</v>
      </c>
    </row>
    <row r="19" spans="1:21" s="6" customFormat="1" ht="12.95" customHeight="1" thickTop="1" x14ac:dyDescent="0.2">
      <c r="E19" s="13"/>
      <c r="F19" s="22"/>
    </row>
    <row r="20" spans="1:21" s="6" customFormat="1" ht="12.95" customHeight="1" thickBot="1" x14ac:dyDescent="0.25">
      <c r="A20" s="17" t="s">
        <v>8</v>
      </c>
      <c r="B20" s="17" t="s">
        <v>9</v>
      </c>
      <c r="C20" s="17" t="s">
        <v>10</v>
      </c>
      <c r="D20" s="17" t="s">
        <v>14</v>
      </c>
      <c r="E20" s="17" t="s">
        <v>11</v>
      </c>
      <c r="F20" s="17" t="s">
        <v>12</v>
      </c>
      <c r="G20" s="17" t="s">
        <v>13</v>
      </c>
      <c r="H20" s="23" t="s">
        <v>55</v>
      </c>
      <c r="I20" s="23" t="s">
        <v>45</v>
      </c>
      <c r="J20" s="23" t="s">
        <v>46</v>
      </c>
      <c r="K20" s="23" t="s">
        <v>47</v>
      </c>
      <c r="L20" s="23" t="s">
        <v>26</v>
      </c>
      <c r="M20" s="23" t="s">
        <v>27</v>
      </c>
      <c r="N20" s="23" t="s">
        <v>28</v>
      </c>
      <c r="O20" s="23" t="s">
        <v>24</v>
      </c>
      <c r="P20" s="24" t="s">
        <v>23</v>
      </c>
      <c r="Q20" s="17" t="s">
        <v>16</v>
      </c>
      <c r="U20" s="25" t="s">
        <v>35</v>
      </c>
    </row>
    <row r="21" spans="1:21" s="6" customFormat="1" ht="12.95" customHeight="1" x14ac:dyDescent="0.2">
      <c r="A21" s="49" t="s">
        <v>55</v>
      </c>
      <c r="C21" s="26">
        <v>51895.237099999998</v>
      </c>
      <c r="D21" s="26"/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2.1498943391765404E-4</v>
      </c>
      <c r="Q21" s="27">
        <f>+C21-15018.5</f>
        <v>36876.737099999998</v>
      </c>
    </row>
    <row r="22" spans="1:21" s="6" customFormat="1" ht="12.95" customHeight="1" x14ac:dyDescent="0.2">
      <c r="A22" s="13" t="s">
        <v>38</v>
      </c>
      <c r="C22" s="26">
        <v>52501.636599999998</v>
      </c>
      <c r="D22" s="26" t="s">
        <v>15</v>
      </c>
      <c r="E22" s="6">
        <f>+(C22-C$7)/C$8</f>
        <v>319.00011268120107</v>
      </c>
      <c r="F22" s="6">
        <f>ROUND(2*E22,0)/2</f>
        <v>319</v>
      </c>
      <c r="G22" s="6">
        <f>+C22-(C$7+F22*C$8)</f>
        <v>2.1420000120997429E-4</v>
      </c>
      <c r="K22" s="6">
        <f>+G22</f>
        <v>2.1420000120997429E-4</v>
      </c>
      <c r="O22" s="6">
        <f ca="1">+C$11+C$12*$F22</f>
        <v>7.7879878834695242E-4</v>
      </c>
      <c r="Q22" s="27">
        <f>+C22-15018.5</f>
        <v>37483.136599999998</v>
      </c>
    </row>
    <row r="23" spans="1:21" s="6" customFormat="1" ht="12.95" customHeight="1" x14ac:dyDescent="0.2">
      <c r="A23" s="4" t="s">
        <v>39</v>
      </c>
      <c r="B23" s="5" t="s">
        <v>40</v>
      </c>
      <c r="C23" s="4">
        <v>54845.494500000001</v>
      </c>
      <c r="D23" s="4">
        <v>8.9999999999999998E-4</v>
      </c>
      <c r="E23" s="6">
        <f>+(C23-C$7)/C$8</f>
        <v>1552.0006910272004</v>
      </c>
      <c r="F23" s="6">
        <f>ROUND(2*E23,0)/2</f>
        <v>1552</v>
      </c>
      <c r="G23" s="6">
        <f>+C23-(C$7+F23*C$8)</f>
        <v>1.313600005232729E-3</v>
      </c>
      <c r="J23" s="6">
        <f>+G23</f>
        <v>1.313600005232729E-3</v>
      </c>
      <c r="O23" s="6">
        <f ca="1">+C$11+C$12*$F23</f>
        <v>2.9580368260000087E-3</v>
      </c>
      <c r="Q23" s="27">
        <f>+C23-15018.5</f>
        <v>39826.994500000001</v>
      </c>
    </row>
    <row r="24" spans="1:21" s="6" customFormat="1" ht="12.95" customHeight="1" x14ac:dyDescent="0.2">
      <c r="A24" s="28" t="s">
        <v>48</v>
      </c>
      <c r="B24" s="29" t="s">
        <v>40</v>
      </c>
      <c r="C24" s="28">
        <v>55978.454599999997</v>
      </c>
      <c r="D24" s="28">
        <v>1.6999999999999999E-3</v>
      </c>
      <c r="E24" s="6">
        <f>+(C24-C$7)/C$8</f>
        <v>2148.001181732262</v>
      </c>
      <c r="F24" s="6">
        <f>ROUND(2*E24,0)/2</f>
        <v>2148</v>
      </c>
      <c r="G24" s="6">
        <f>+C24-(C$7+F24*C$8)</f>
        <v>2.2463999994215555E-3</v>
      </c>
      <c r="J24" s="6">
        <f>+G24</f>
        <v>2.2463999994215555E-3</v>
      </c>
      <c r="O24" s="6">
        <f ca="1">+C$11+C$12*$F24</f>
        <v>4.0114235822378205E-3</v>
      </c>
      <c r="Q24" s="27">
        <f>+C24-15018.5</f>
        <v>40959.954599999997</v>
      </c>
    </row>
    <row r="25" spans="1:21" s="6" customFormat="1" ht="12.95" customHeight="1" x14ac:dyDescent="0.2">
      <c r="A25" s="28" t="s">
        <v>49</v>
      </c>
      <c r="B25" s="29" t="s">
        <v>40</v>
      </c>
      <c r="C25" s="28">
        <v>56151.445899999999</v>
      </c>
      <c r="D25" s="28">
        <v>1.1000000000000001E-3</v>
      </c>
      <c r="E25" s="6">
        <f>+(C25-C$7)/C$8</f>
        <v>2239.0042979829645</v>
      </c>
      <c r="F25" s="6">
        <f>ROUND(2*E25,0)/2</f>
        <v>2239</v>
      </c>
      <c r="G25" s="6">
        <f>+C25-(C$7+F25*C$8)</f>
        <v>8.1702000024961308E-3</v>
      </c>
      <c r="J25" s="6">
        <f>+G25</f>
        <v>8.1702000024961308E-3</v>
      </c>
      <c r="O25" s="6">
        <f ca="1">+C$11+C$12*$F25</f>
        <v>4.1722594795828545E-3</v>
      </c>
      <c r="Q25" s="27">
        <f>+C25-15018.5</f>
        <v>41132.945899999999</v>
      </c>
    </row>
    <row r="26" spans="1:21" s="6" customFormat="1" ht="12.95" customHeight="1" x14ac:dyDescent="0.2">
      <c r="A26" s="28" t="s">
        <v>49</v>
      </c>
      <c r="B26" s="29" t="s">
        <v>40</v>
      </c>
      <c r="C26" s="28">
        <v>56187.561699999998</v>
      </c>
      <c r="D26" s="28">
        <v>5.9999999999999995E-4</v>
      </c>
      <c r="E26" s="6">
        <f>+(C26-C$7)/C$8</f>
        <v>2258.0032322986617</v>
      </c>
      <c r="F26" s="6">
        <f>ROUND(2*E26,0)/2</f>
        <v>2258</v>
      </c>
      <c r="G26" s="6">
        <f>+C26-(C$7+F26*C$8)</f>
        <v>6.1444000020856038E-3</v>
      </c>
      <c r="J26" s="6">
        <f>+G26</f>
        <v>6.1444000020856038E-3</v>
      </c>
      <c r="O26" s="6">
        <f ca="1">+C$11+C$12*$F26</f>
        <v>4.2058406010065438E-3</v>
      </c>
      <c r="Q26" s="27">
        <f>+C26-15018.5</f>
        <v>41169.061699999998</v>
      </c>
    </row>
    <row r="27" spans="1:21" s="6" customFormat="1" ht="12.95" customHeight="1" x14ac:dyDescent="0.2">
      <c r="A27" s="30" t="s">
        <v>44</v>
      </c>
      <c r="B27" s="31" t="s">
        <v>40</v>
      </c>
      <c r="C27" s="32">
        <v>57338.581100000003</v>
      </c>
      <c r="D27" s="32">
        <v>3.3999999999999998E-3</v>
      </c>
      <c r="E27" s="6">
        <f>+(C27-C$7)/C$8</f>
        <v>2863.5039266400163</v>
      </c>
      <c r="F27" s="6">
        <f>ROUND(2*E27,0)/2</f>
        <v>2863.5</v>
      </c>
      <c r="G27" s="6">
        <f>+C27-(C$7+F27*C$8)</f>
        <v>7.4643000043579377E-3</v>
      </c>
      <c r="K27" s="6">
        <f>+G27</f>
        <v>7.4643000043579377E-3</v>
      </c>
      <c r="O27" s="6">
        <f ca="1">+C$11+C$12*$F27</f>
        <v>5.2760179179561989E-3</v>
      </c>
      <c r="Q27" s="27">
        <f>+C27-15018.5</f>
        <v>42320.081100000003</v>
      </c>
    </row>
    <row r="28" spans="1:21" s="6" customFormat="1" ht="12.95" customHeight="1" x14ac:dyDescent="0.2">
      <c r="A28" s="33" t="s">
        <v>0</v>
      </c>
      <c r="B28" s="34" t="s">
        <v>1</v>
      </c>
      <c r="C28" s="35">
        <v>57823.315300000002</v>
      </c>
      <c r="D28" s="35">
        <v>2E-3</v>
      </c>
      <c r="E28" s="6">
        <f>+(C28-C$7)/C$8</f>
        <v>3118.5012747915762</v>
      </c>
      <c r="F28" s="6">
        <f>ROUND(2*E28,0)/2</f>
        <v>3118.5</v>
      </c>
      <c r="G28" s="6">
        <f>+C28-(C$7+F28*C$8)</f>
        <v>2.4233000003732741E-3</v>
      </c>
      <c r="K28" s="6">
        <f>+G28</f>
        <v>2.4233000003732741E-3</v>
      </c>
      <c r="O28" s="6">
        <f ca="1">+C$11+C$12*$F28</f>
        <v>5.7267119160109674E-3</v>
      </c>
      <c r="Q28" s="27">
        <f>+C28-15018.5</f>
        <v>42804.815300000002</v>
      </c>
    </row>
    <row r="29" spans="1:21" s="6" customFormat="1" ht="12.95" customHeight="1" x14ac:dyDescent="0.2">
      <c r="A29" s="36" t="s">
        <v>50</v>
      </c>
      <c r="B29" s="37" t="s">
        <v>40</v>
      </c>
      <c r="C29" s="38">
        <v>60221.353740000166</v>
      </c>
      <c r="D29" s="36">
        <v>2.9999999999999997E-4</v>
      </c>
      <c r="E29" s="6">
        <f>+(C29-C$7)/C$8</f>
        <v>4380.0038528344412</v>
      </c>
      <c r="F29" s="6">
        <f>ROUND(2*E29,0)/2</f>
        <v>4380</v>
      </c>
      <c r="G29" s="6">
        <f>+C29-(C$7+F29*C$8)</f>
        <v>7.3240001656813547E-3</v>
      </c>
      <c r="K29" s="6">
        <f>+G29</f>
        <v>7.3240001656813547E-3</v>
      </c>
      <c r="O29" s="6">
        <f ca="1">+C$11+C$12*$F29</f>
        <v>7.9563216357995577E-3</v>
      </c>
      <c r="Q29" s="27">
        <f>+C29-15018.5</f>
        <v>45202.853740000166</v>
      </c>
    </row>
    <row r="30" spans="1:21" s="6" customFormat="1" ht="12.95" customHeight="1" x14ac:dyDescent="0.2">
      <c r="C30" s="26"/>
      <c r="D30" s="26"/>
      <c r="Q30" s="27"/>
    </row>
    <row r="31" spans="1:21" s="6" customFormat="1" ht="12.95" customHeight="1" x14ac:dyDescent="0.2">
      <c r="C31" s="26"/>
      <c r="D31" s="26"/>
      <c r="Q31" s="27"/>
    </row>
    <row r="32" spans="1:21" s="6" customFormat="1" ht="12.95" customHeight="1" x14ac:dyDescent="0.2">
      <c r="C32" s="26"/>
      <c r="D32" s="26"/>
      <c r="Q32" s="27"/>
    </row>
    <row r="33" spans="3:17" s="6" customFormat="1" ht="12.95" customHeight="1" x14ac:dyDescent="0.2">
      <c r="C33" s="26"/>
      <c r="D33" s="26"/>
      <c r="Q33" s="27"/>
    </row>
    <row r="34" spans="3:17" s="6" customFormat="1" ht="12.95" customHeight="1" x14ac:dyDescent="0.2">
      <c r="C34" s="26"/>
      <c r="D34" s="26"/>
    </row>
    <row r="35" spans="3:17" s="6" customFormat="1" ht="12.95" customHeight="1" x14ac:dyDescent="0.2">
      <c r="C35" s="26"/>
      <c r="D35" s="26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W34">
    <sortCondition ref="C21:C34"/>
  </sortState>
  <phoneticPr fontId="7" type="noConversion"/>
  <hyperlinks>
    <hyperlink ref="H63220" r:id="rId1" display="http://vsolj.cetus-net.org/bulletin.html" xr:uid="{00000000-0004-0000-0000-000000000000}"/>
    <hyperlink ref="H63213" r:id="rId2" display="https://www.aavso.org/ejaavso" xr:uid="{00000000-0004-0000-0000-000001000000}"/>
    <hyperlink ref="AP71" r:id="rId3" display="http://cdsbib.u-strasbg.fr/cgi-bin/cdsbib?1990RMxAA..21..381G" xr:uid="{00000000-0004-0000-0000-000002000000}"/>
    <hyperlink ref="AP68" r:id="rId4" display="http://cdsbib.u-strasbg.fr/cgi-bin/cdsbib?1990RMxAA..21..381G" xr:uid="{00000000-0004-0000-0000-000003000000}"/>
    <hyperlink ref="AP70" r:id="rId5" display="http://cdsbib.u-strasbg.fr/cgi-bin/cdsbib?1990RMxAA..21..381G" xr:uid="{00000000-0004-0000-0000-000004000000}"/>
    <hyperlink ref="AP46" r:id="rId6" display="http://cdsbib.u-strasbg.fr/cgi-bin/cdsbib?1990RMxAA..21..381G" xr:uid="{00000000-0004-0000-0000-000005000000}"/>
    <hyperlink ref="I63220" r:id="rId7" display="http://vsolj.cetus-net.org/bulletin.html" xr:uid="{00000000-0004-0000-0000-000006000000}"/>
    <hyperlink ref="AQ207" r:id="rId8" display="http://cdsbib.u-strasbg.fr/cgi-bin/cdsbib?1990RMxAA..21..381G" xr:uid="{00000000-0004-0000-0000-000007000000}"/>
    <hyperlink ref="AQ1851" r:id="rId9" display="http://cdsbib.u-strasbg.fr/cgi-bin/cdsbib?1990RMxAA..21..381G" xr:uid="{00000000-0004-0000-0000-000008000000}"/>
    <hyperlink ref="AQ208" r:id="rId10" display="http://cdsbib.u-strasbg.fr/cgi-bin/cdsbib?1990RMxAA..21..381G" xr:uid="{00000000-0004-0000-0000-000009000000}"/>
    <hyperlink ref="H63217" r:id="rId11" display="https://www.aavso.org/ejaavso" xr:uid="{00000000-0004-0000-0000-00000A000000}"/>
    <hyperlink ref="H1058" r:id="rId12" display="http://vsolj.cetus-net.org/bulletin.html" xr:uid="{00000000-0004-0000-0000-00000B000000}"/>
    <hyperlink ref="AP4296" r:id="rId13" display="http://cdsbib.u-strasbg.fr/cgi-bin/cdsbib?1990RMxAA..21..381G" xr:uid="{00000000-0004-0000-0000-00000C000000}"/>
    <hyperlink ref="AP4299" r:id="rId14" display="http://cdsbib.u-strasbg.fr/cgi-bin/cdsbib?1990RMxAA..21..381G" xr:uid="{00000000-0004-0000-0000-00000D000000}"/>
    <hyperlink ref="AP4297" r:id="rId15" display="http://cdsbib.u-strasbg.fr/cgi-bin/cdsbib?1990RMxAA..21..381G" xr:uid="{00000000-0004-0000-0000-00000E000000}"/>
    <hyperlink ref="AP4275" r:id="rId16" display="http://cdsbib.u-strasbg.fr/cgi-bin/cdsbib?1990RMxAA..21..381G" xr:uid="{00000000-0004-0000-0000-00000F000000}"/>
    <hyperlink ref="I1058" r:id="rId17" display="http://vsolj.cetus-net.org/bulletin.html" xr:uid="{00000000-0004-0000-0000-000010000000}"/>
    <hyperlink ref="AQ4409" r:id="rId18" display="http://cdsbib.u-strasbg.fr/cgi-bin/cdsbib?1990RMxAA..21..381G" xr:uid="{00000000-0004-0000-0000-000011000000}"/>
    <hyperlink ref="AQ64497" r:id="rId19" display="http://cdsbib.u-strasbg.fr/cgi-bin/cdsbib?1990RMxAA..21..381G" xr:uid="{00000000-0004-0000-0000-000012000000}"/>
    <hyperlink ref="AQ441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2025-01-07T07:37:00Z</dcterms:modified>
</cp:coreProperties>
</file>