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5FF0222-678C-45E7-A0DF-AC0204D00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F14" i="1"/>
  <c r="E25" i="1"/>
  <c r="F25" i="1" s="1"/>
  <c r="G25" i="1" s="1"/>
  <c r="K25" i="1" s="1"/>
  <c r="Q25" i="1"/>
  <c r="E26" i="1"/>
  <c r="F26" i="1"/>
  <c r="G26" i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D9" i="1"/>
  <c r="E9" i="1"/>
  <c r="C17" i="1"/>
  <c r="E21" i="1"/>
  <c r="F21" i="1"/>
  <c r="G21" i="1"/>
  <c r="I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C11" i="1"/>
  <c r="C12" i="1"/>
  <c r="O29" i="1" l="1"/>
  <c r="F15" i="1"/>
  <c r="O27" i="1"/>
  <c r="O26" i="1"/>
  <c r="O25" i="1"/>
  <c r="O28" i="1"/>
  <c r="O21" i="1"/>
  <c r="O22" i="1"/>
  <c r="O23" i="1"/>
  <c r="C15" i="1"/>
  <c r="O24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<sst xmlns="http://schemas.openxmlformats.org/spreadsheetml/2006/main" count="79" uniqueCount="65">
  <si>
    <t>LO Psc / GSC 0174-0152</t>
  </si>
  <si>
    <t>LO Psc</t>
  </si>
  <si>
    <t>2019G</t>
  </si>
  <si>
    <t>G0174-0152</t>
  </si>
  <si>
    <t>EW</t>
  </si>
  <si>
    <t>pr_</t>
  </si>
  <si>
    <t>na</t>
  </si>
  <si>
    <t>LO Ps</t>
  </si>
  <si>
    <t>O Ps</t>
  </si>
  <si>
    <t>Psc</t>
  </si>
  <si>
    <t>yes</t>
  </si>
  <si>
    <t>System Type:</t>
  </si>
  <si>
    <t>GCVS 4 Eph.</t>
  </si>
  <si>
    <t>2019-07-12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</si>
  <si>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</si>
  <si>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</si>
  <si>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</si>
  <si>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</si>
  <si>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</si>
  <si>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</si>
  <si>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</si>
  <si>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</si>
  <si>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</si>
  <si>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</si>
  <si>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</si>
  <si>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</si>
  <si>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</si>
  <si>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</si>
  <si>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</si>
  <si>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</si>
  <si>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</si>
  <si>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</si>
  <si>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</si>
  <si>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</si>
  <si>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</si>
  <si>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</si>
  <si>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</si>
  <si>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</si>
  <si>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</si>
  <si>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</si>
  <si>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</si>
  <si>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</si>
  <si>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</si>
  <si>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</si>
  <si>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</si>
  <si>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</si>
  <si>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</si>
  <si>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</si>
  <si>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</si>
  <si>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</si>
  <si>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</si>
  <si>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</si>
  <si>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6114</t>
  </si>
  <si>
    <t>II</t>
  </si>
  <si>
    <t>I</t>
  </si>
  <si>
    <t>IBVS 6118</t>
  </si>
  <si>
    <t>JBAV, 60</t>
  </si>
  <si>
    <t>VSB, 91</t>
  </si>
  <si>
    <t xml:space="preserve">V </t>
  </si>
  <si>
    <t>JBAV 96</t>
  </si>
  <si>
    <t xml:space="preserve">Mag </t>
  </si>
  <si>
    <t>Next ToM-P</t>
  </si>
  <si>
    <t>Next ToM-S</t>
  </si>
  <si>
    <t>11.10-11.70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</si>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</sst>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33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i/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35"/>
        <bgColor indexed="41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29" fillId="0" borderId="0" applyFill="0" applyBorder="0" applyProtection="0">
      <alignment vertical="top"/>
    </xf>
    <xf numFmtId="164" fontId="29" fillId="0" borderId="0" applyFill="0" applyBorder="0" applyProtection="0">
      <alignment vertical="top"/>
    </xf>
    <xf numFmtId="0" fontId="29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29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29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29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60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24" borderId="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20" fillId="24" borderId="8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22" borderId="5" xfId="0" applyFont="1" applyFill="1" applyBorder="1" applyAlignment="1">
      <alignment horizontal="left" vertical="center"/>
    </xf>
    <xf numFmtId="0" fontId="0" fillId="22" borderId="5" xfId="0" applyFill="1" applyBorder="1" applyAlignment="1">
      <alignment vertical="center"/>
    </xf>
    <xf numFmtId="0" fontId="0" fillId="0" borderId="5" xfId="0" applyBorder="1">
      <alignment vertical="top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8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8" fillId="0" borderId="0" xfId="41" applyFont="1" applyAlignment="1">
      <alignment horizontal="left" vertical="center"/>
    </xf>
    <xf numFmtId="0" fontId="28" fillId="0" borderId="0" xfId="41" applyFont="1" applyAlignment="1">
      <alignment horizontal="center" vertical="center"/>
    </xf>
    <xf numFmtId="0" fontId="28" fillId="0" borderId="0" xfId="41" applyFont="1" applyAlignment="1">
      <alignment horizontal="left" vertical="center" wrapText="1"/>
    </xf>
    <xf numFmtId="0" fontId="28" fillId="0" borderId="0" xfId="41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165" fontId="2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167" fontId="30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0" fontId="31" fillId="0" borderId="15" xfId="0" applyFont="1" applyBorder="1" applyAlignment="1">
      <alignment horizontal="right" vertical="center"/>
    </xf>
    <xf numFmtId="0" fontId="31" fillId="0" borderId="17" xfId="0" applyFont="1" applyBorder="1" applyAlignment="1">
      <alignment horizontal="right" vertical="center"/>
    </xf>
    <xf numFmtId="0" fontId="0" fillId="25" borderId="13" xfId="0" applyFill="1" applyBorder="1" applyAlignment="1">
      <alignment horizontal="right" vertical="center"/>
    </xf>
    <xf numFmtId="0" fontId="0" fillId="25" borderId="14" xfId="0" applyFill="1" applyBorder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22" fontId="32" fillId="0" borderId="16" xfId="0" applyNumberFormat="1" applyFont="1" applyBorder="1" applyAlignment="1">
      <alignment horizontal="right" vertical="center"/>
    </xf>
    <xf numFmtId="22" fontId="32" fillId="0" borderId="18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69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Psc - O-C Diagr.</a:t>
            </a:r>
          </a:p>
        </c:rich>
      </c:tx>
      <c:layout>
        <c:manualLayout>
          <c:xMode val="edge"/>
          <c:yMode val="edge"/>
          <c:x val="0.3864661654135338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0852130325814"/>
          <c:y val="0.13913976969095077"/>
          <c:w val="0.80200501253132828"/>
          <c:h val="0.64764922402717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Active!$F$21:$F$2400</c:f>
              <c:numCache>
                <c:formatCode>General</c:formatCode>
                <c:ptCount val="2380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  <c:pt idx="4">
                  <c:v>8530.5</c:v>
                </c:pt>
                <c:pt idx="5">
                  <c:v>8531</c:v>
                </c:pt>
                <c:pt idx="6">
                  <c:v>8648</c:v>
                </c:pt>
                <c:pt idx="7">
                  <c:v>8648.5</c:v>
                </c:pt>
                <c:pt idx="8">
                  <c:v>10426</c:v>
                </c:pt>
              </c:numCache>
            </c:numRef>
          </c:xVal>
          <c:yVal>
            <c:numRef>
              <c:f>Active!$H$21:$H$2400</c:f>
              <c:numCache>
                <c:formatCode>General</c:formatCode>
                <c:ptCount val="2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65-4AAE-B9AC-A0593CD51F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Active!$F$21:$F$204</c:f>
              <c:numCache>
                <c:formatCode>General</c:formatCode>
                <c:ptCount val="18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  <c:pt idx="4">
                  <c:v>8530.5</c:v>
                </c:pt>
                <c:pt idx="5">
                  <c:v>8531</c:v>
                </c:pt>
                <c:pt idx="6">
                  <c:v>8648</c:v>
                </c:pt>
                <c:pt idx="7">
                  <c:v>8648.5</c:v>
                </c:pt>
                <c:pt idx="8">
                  <c:v>10426</c:v>
                </c:pt>
              </c:numCache>
            </c:numRef>
          </c:xVal>
          <c:yVal>
            <c:numRef>
              <c:f>Active!$I$21:$I$204</c:f>
              <c:numCache>
                <c:formatCode>General</c:formatCode>
                <c:ptCount val="18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65-4AAE-B9AC-A0593CD51FF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  <c:pt idx="4">
                  <c:v>8530.5</c:v>
                </c:pt>
                <c:pt idx="5">
                  <c:v>8531</c:v>
                </c:pt>
                <c:pt idx="6">
                  <c:v>8648</c:v>
                </c:pt>
                <c:pt idx="7">
                  <c:v>8648.5</c:v>
                </c:pt>
                <c:pt idx="8">
                  <c:v>10426</c:v>
                </c:pt>
              </c:numCache>
            </c:numRef>
          </c:xVal>
          <c:yVal>
            <c:numRef>
              <c:f>Active!$J$21:$J$240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65-4AAE-B9AC-A0593CD51FF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Active!$F$21:$F$2030</c:f>
              <c:numCache>
                <c:formatCode>General</c:formatCode>
                <c:ptCount val="2010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  <c:pt idx="4">
                  <c:v>8530.5</c:v>
                </c:pt>
                <c:pt idx="5">
                  <c:v>8531</c:v>
                </c:pt>
                <c:pt idx="6">
                  <c:v>8648</c:v>
                </c:pt>
                <c:pt idx="7">
                  <c:v>8648.5</c:v>
                </c:pt>
                <c:pt idx="8">
                  <c:v>10426</c:v>
                </c:pt>
              </c:numCache>
            </c:numRef>
          </c:xVal>
          <c:yVal>
            <c:numRef>
              <c:f>Active!$K$21:$K$2030</c:f>
              <c:numCache>
                <c:formatCode>General</c:formatCode>
                <c:ptCount val="2010"/>
                <c:pt idx="1">
                  <c:v>2.6434998799231835E-3</c:v>
                </c:pt>
                <c:pt idx="2">
                  <c:v>-4.4000011257594451E-4</c:v>
                </c:pt>
                <c:pt idx="3">
                  <c:v>3.6299988278187811E-4</c:v>
                </c:pt>
                <c:pt idx="4">
                  <c:v>-1.239350011019269E-2</c:v>
                </c:pt>
                <c:pt idx="5">
                  <c:v>-1.3677000119059812E-2</c:v>
                </c:pt>
                <c:pt idx="6">
                  <c:v>-1.3416000278084539E-2</c:v>
                </c:pt>
                <c:pt idx="7">
                  <c:v>-1.3299500154971611E-2</c:v>
                </c:pt>
                <c:pt idx="8">
                  <c:v>-3.144200007955078E-2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65-4AAE-B9AC-A0593CD51FF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  <c:pt idx="4">
                  <c:v>8530.5</c:v>
                </c:pt>
                <c:pt idx="5">
                  <c:v>8531</c:v>
                </c:pt>
                <c:pt idx="6">
                  <c:v>8648</c:v>
                </c:pt>
                <c:pt idx="7">
                  <c:v>8648.5</c:v>
                </c:pt>
                <c:pt idx="8">
                  <c:v>10426</c:v>
                </c:pt>
              </c:numCache>
            </c:numRef>
          </c:xVal>
          <c:yVal>
            <c:numRef>
              <c:f>Active!$L$21:$L$240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65-4AAE-B9AC-A0593CD51F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  <c:pt idx="4">
                  <c:v>8530.5</c:v>
                </c:pt>
                <c:pt idx="5">
                  <c:v>8531</c:v>
                </c:pt>
                <c:pt idx="6">
                  <c:v>8648</c:v>
                </c:pt>
                <c:pt idx="7">
                  <c:v>8648.5</c:v>
                </c:pt>
                <c:pt idx="8">
                  <c:v>10426</c:v>
                </c:pt>
              </c:numCache>
            </c:numRef>
          </c:xVal>
          <c:yVal>
            <c:numRef>
              <c:f>Active!$M$21:$M$240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65-4AAE-B9AC-A0593CD51F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  <c:pt idx="4">
                  <c:v>8530.5</c:v>
                </c:pt>
                <c:pt idx="5">
                  <c:v>8531</c:v>
                </c:pt>
                <c:pt idx="6">
                  <c:v>8648</c:v>
                </c:pt>
                <c:pt idx="7">
                  <c:v>8648.5</c:v>
                </c:pt>
                <c:pt idx="8">
                  <c:v>10426</c:v>
                </c:pt>
              </c:numCache>
            </c:numRef>
          </c:xVal>
          <c:yVal>
            <c:numRef>
              <c:f>Active!$N$21:$N$240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65-4AAE-B9AC-A0593CD51F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0C3-4047-B53D-2AD6B2402FCA}"/>
              </c:ext>
            </c:extLst>
          </c:dPt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  <c:pt idx="4">
                  <c:v>8530.5</c:v>
                </c:pt>
                <c:pt idx="5">
                  <c:v>8531</c:v>
                </c:pt>
                <c:pt idx="6">
                  <c:v>8648</c:v>
                </c:pt>
                <c:pt idx="7">
                  <c:v>8648.5</c:v>
                </c:pt>
                <c:pt idx="8">
                  <c:v>10426</c:v>
                </c:pt>
              </c:numCache>
            </c:numRef>
          </c:xVal>
          <c:yVal>
            <c:numRef>
              <c:f>Active!$O$21:$O$240</c:f>
              <c:numCache>
                <c:formatCode>General</c:formatCode>
                <c:ptCount val="220"/>
                <c:pt idx="0">
                  <c:v>1.2397704404114203E-3</c:v>
                </c:pt>
                <c:pt idx="1">
                  <c:v>1.2408064988009037E-3</c:v>
                </c:pt>
                <c:pt idx="2">
                  <c:v>1.2397704404114203E-3</c:v>
                </c:pt>
                <c:pt idx="3">
                  <c:v>1.2169771558427844E-3</c:v>
                </c:pt>
                <c:pt idx="4">
                  <c:v>-1.6436421742565776E-2</c:v>
                </c:pt>
                <c:pt idx="5">
                  <c:v>-1.643745780095526E-2</c:v>
                </c:pt>
                <c:pt idx="6">
                  <c:v>-1.6679895464094388E-2</c:v>
                </c:pt>
                <c:pt idx="7">
                  <c:v>-1.6680931522483872E-2</c:v>
                </c:pt>
                <c:pt idx="8">
                  <c:v>-2.0364119097097545E-2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65-4AAE-B9AC-A0593CD51F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  <c:pt idx="4">
                  <c:v>8530.5</c:v>
                </c:pt>
                <c:pt idx="5">
                  <c:v>8531</c:v>
                </c:pt>
                <c:pt idx="6">
                  <c:v>8648</c:v>
                </c:pt>
                <c:pt idx="7">
                  <c:v>8648.5</c:v>
                </c:pt>
                <c:pt idx="8">
                  <c:v>10426</c:v>
                </c:pt>
              </c:numCache>
            </c:numRef>
          </c:xVal>
          <c:yVal>
            <c:numRef>
              <c:f>Active!$U$21:$U$240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65-4AAE-B9AC-A0593CD5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09664"/>
        <c:axId val="1"/>
      </c:scatterChart>
      <c:valAx>
        <c:axId val="76710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43543669653905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096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"/>
          <c:y val="0.90090342310814753"/>
          <c:w val="0.79398496240601513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DC5D48-7F1F-5E8F-1691-42DCAAC4B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pane xSplit="14" ySplit="22" topLeftCell="O24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2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" customWidth="1"/>
    <col min="19" max="16384" width="10.28515625" style="1"/>
  </cols>
  <sheetData>
    <row r="1" spans="1:23" ht="20.25" x14ac:dyDescent="0.3">
      <c r="A1" s="2" t="s">
        <v>0</v>
      </c>
      <c r="F1" s="3" t="s">
        <v>1</v>
      </c>
      <c r="G1" s="4" t="s">
        <v>2</v>
      </c>
      <c r="H1" s="5"/>
      <c r="I1" s="6" t="s">
        <v>3</v>
      </c>
      <c r="J1" s="7" t="s">
        <v>1</v>
      </c>
      <c r="K1" s="8">
        <v>0.53280000000000005</v>
      </c>
      <c r="L1" s="8">
        <v>25.362200000000001</v>
      </c>
      <c r="M1" s="9">
        <v>-2393435.4509999999</v>
      </c>
      <c r="N1" s="9">
        <v>0.34556700000000001</v>
      </c>
      <c r="O1" s="8" t="s">
        <v>4</v>
      </c>
      <c r="P1" s="8">
        <v>11.1</v>
      </c>
      <c r="Q1" s="8">
        <v>11.7</v>
      </c>
      <c r="R1" s="10" t="s">
        <v>5</v>
      </c>
      <c r="S1" s="11" t="s">
        <v>6</v>
      </c>
      <c r="T1" s="12" t="s">
        <v>7</v>
      </c>
      <c r="U1" s="13" t="s">
        <v>8</v>
      </c>
      <c r="V1" s="14" t="s">
        <v>9</v>
      </c>
      <c r="W1" s="15" t="s">
        <v>10</v>
      </c>
    </row>
    <row r="2" spans="1:23" s="23" customFormat="1" ht="12.95" customHeight="1" x14ac:dyDescent="0.2">
      <c r="A2" s="23" t="s">
        <v>11</v>
      </c>
      <c r="B2" s="23" t="s">
        <v>4</v>
      </c>
      <c r="C2" s="24"/>
      <c r="D2" s="25"/>
    </row>
    <row r="3" spans="1:23" s="23" customFormat="1" ht="12.95" customHeight="1" x14ac:dyDescent="0.2"/>
    <row r="4" spans="1:23" s="23" customFormat="1" ht="12.95" customHeight="1" x14ac:dyDescent="0.2">
      <c r="A4" s="26" t="s">
        <v>12</v>
      </c>
      <c r="C4" s="27">
        <v>56564.549000000115</v>
      </c>
      <c r="D4" s="28">
        <v>0.34556700000000001</v>
      </c>
      <c r="E4" s="29" t="s">
        <v>13</v>
      </c>
    </row>
    <row r="5" spans="1:23" s="23" customFormat="1" ht="12.95" customHeight="1" x14ac:dyDescent="0.2">
      <c r="A5" s="30" t="s">
        <v>14</v>
      </c>
      <c r="C5" s="31">
        <v>-9.5</v>
      </c>
      <c r="D5" s="23" t="s">
        <v>15</v>
      </c>
    </row>
    <row r="6" spans="1:23" s="23" customFormat="1" ht="12.95" customHeight="1" x14ac:dyDescent="0.2">
      <c r="A6" s="26" t="s">
        <v>16</v>
      </c>
    </row>
    <row r="7" spans="1:23" s="23" customFormat="1" ht="12.95" customHeight="1" x14ac:dyDescent="0.2">
      <c r="A7" s="23" t="s">
        <v>17</v>
      </c>
      <c r="C7" s="45">
        <v>56564.549000000115</v>
      </c>
      <c r="D7" s="33" t="s">
        <v>64</v>
      </c>
    </row>
    <row r="8" spans="1:23" s="23" customFormat="1" ht="12.95" customHeight="1" x14ac:dyDescent="0.2">
      <c r="A8" s="23" t="s">
        <v>19</v>
      </c>
      <c r="C8" s="45">
        <v>0.34556700000000001</v>
      </c>
      <c r="D8" s="33" t="s">
        <v>64</v>
      </c>
    </row>
    <row r="9" spans="1:23" s="23" customFormat="1" ht="12.95" customHeight="1" x14ac:dyDescent="0.2">
      <c r="A9" s="34" t="s">
        <v>20</v>
      </c>
      <c r="C9" s="35">
        <v>21</v>
      </c>
      <c r="D9" s="36" t="str">
        <f>"F"&amp;C9</f>
        <v>F21</v>
      </c>
      <c r="E9" s="37" t="str">
        <f>"G"&amp;C9</f>
        <v>G21</v>
      </c>
    </row>
    <row r="10" spans="1:23" s="23" customFormat="1" ht="12.95" customHeight="1" x14ac:dyDescent="0.2">
      <c r="C10" s="38" t="s">
        <v>21</v>
      </c>
      <c r="D10" s="38" t="s">
        <v>22</v>
      </c>
    </row>
    <row r="11" spans="1:23" s="23" customFormat="1" ht="12.95" customHeight="1" x14ac:dyDescent="0.2">
      <c r="A11" s="23" t="s">
        <v>23</v>
      </c>
      <c r="C11" s="37">
        <f ca="1">INTERCEPT(INDIRECT($E$9):G992,INDIRECT($D$9):F992)</f>
        <v>1.2397704404114203E-3</v>
      </c>
      <c r="D11" s="25"/>
    </row>
    <row r="12" spans="1:23" s="23" customFormat="1" ht="12.95" customHeight="1" x14ac:dyDescent="0.2">
      <c r="A12" s="23" t="s">
        <v>24</v>
      </c>
      <c r="C12" s="37">
        <f ca="1">SLOPE(INDIRECT($E$9):G992,INDIRECT($D$9):F992)</f>
        <v>-2.0721167789669064E-6</v>
      </c>
      <c r="D12" s="25"/>
      <c r="E12" s="54" t="s">
        <v>60</v>
      </c>
      <c r="F12" s="55" t="s">
        <v>63</v>
      </c>
    </row>
    <row r="13" spans="1:23" s="23" customFormat="1" ht="12.95" customHeight="1" x14ac:dyDescent="0.2">
      <c r="A13" s="23" t="s">
        <v>25</v>
      </c>
      <c r="C13" s="25" t="s">
        <v>6</v>
      </c>
      <c r="E13" s="52" t="s">
        <v>27</v>
      </c>
      <c r="F13" s="56">
        <v>1</v>
      </c>
    </row>
    <row r="14" spans="1:23" s="23" customFormat="1" ht="12.95" customHeight="1" x14ac:dyDescent="0.2">
      <c r="E14" s="52" t="s">
        <v>29</v>
      </c>
      <c r="F14" s="57">
        <f ca="1">NOW()+15018.5+$C$5/24</f>
        <v>60683.526982986106</v>
      </c>
    </row>
    <row r="15" spans="1:23" s="23" customFormat="1" ht="12.95" customHeight="1" x14ac:dyDescent="0.2">
      <c r="A15" s="26" t="s">
        <v>26</v>
      </c>
      <c r="C15" s="39">
        <f ca="1">(C7+C11)+(C8+C12)*INT(MAX(F21:F3533))</f>
        <v>60167.410177881022</v>
      </c>
      <c r="E15" s="52" t="s">
        <v>31</v>
      </c>
      <c r="F15" s="57">
        <f ca="1">ROUND(2*($F$14-$C$7)/$C$8,0)/2+$F$13</f>
        <v>11920.5</v>
      </c>
    </row>
    <row r="16" spans="1:23" s="23" customFormat="1" ht="12.95" customHeight="1" x14ac:dyDescent="0.2">
      <c r="A16" s="26" t="s">
        <v>28</v>
      </c>
      <c r="C16" s="39">
        <f ca="1">+C8+C12</f>
        <v>0.34556492788322107</v>
      </c>
      <c r="E16" s="52" t="s">
        <v>33</v>
      </c>
      <c r="F16" s="57">
        <f ca="1">ROUND(2*($F$14-$C$15)/$C$16,0)/2+$F$13</f>
        <v>1494.5</v>
      </c>
    </row>
    <row r="17" spans="1:21" s="23" customFormat="1" ht="12.95" customHeight="1" x14ac:dyDescent="0.2">
      <c r="A17" s="34" t="s">
        <v>30</v>
      </c>
      <c r="C17" s="23">
        <f>COUNT(C21:C2191)</f>
        <v>9</v>
      </c>
      <c r="E17" s="52" t="s">
        <v>61</v>
      </c>
      <c r="F17" s="58">
        <f ca="1">+$C$15+$C$16*$F$16-15018.5-$C$5/24</f>
        <v>45665.752795935834</v>
      </c>
    </row>
    <row r="18" spans="1:21" s="23" customFormat="1" ht="12.95" customHeight="1" x14ac:dyDescent="0.2">
      <c r="A18" s="26" t="s">
        <v>32</v>
      </c>
      <c r="C18" s="40">
        <f ca="1">+C15</f>
        <v>60167.410177881022</v>
      </c>
      <c r="D18" s="51">
        <f ca="1">+C16</f>
        <v>0.34556492788322107</v>
      </c>
      <c r="E18" s="53" t="s">
        <v>62</v>
      </c>
      <c r="F18" s="59">
        <f ca="1">+($C$15+$C$16*$F$16)-($C$16/2)-15018.5-$C$5/24</f>
        <v>45665.580013471896</v>
      </c>
    </row>
    <row r="19" spans="1:21" s="23" customFormat="1" ht="12.95" customHeight="1" x14ac:dyDescent="0.2">
      <c r="E19" s="34"/>
      <c r="F19" s="41"/>
    </row>
    <row r="20" spans="1:21" s="23" customFormat="1" ht="12.95" customHeight="1" x14ac:dyDescent="0.2">
      <c r="A20" s="38" t="s">
        <v>34</v>
      </c>
      <c r="B20" s="38" t="s">
        <v>35</v>
      </c>
      <c r="C20" s="38" t="s">
        <v>36</v>
      </c>
      <c r="D20" s="38" t="s">
        <v>37</v>
      </c>
      <c r="E20" s="38" t="s">
        <v>38</v>
      </c>
      <c r="F20" s="38" t="s">
        <v>39</v>
      </c>
      <c r="G20" s="38" t="s">
        <v>40</v>
      </c>
      <c r="H20" s="42" t="s">
        <v>41</v>
      </c>
      <c r="I20" s="42" t="s">
        <v>42</v>
      </c>
      <c r="J20" s="42" t="s">
        <v>43</v>
      </c>
      <c r="K20" s="42" t="s">
        <v>44</v>
      </c>
      <c r="L20" s="42" t="s">
        <v>45</v>
      </c>
      <c r="M20" s="42" t="s">
        <v>46</v>
      </c>
      <c r="N20" s="42" t="s">
        <v>47</v>
      </c>
      <c r="O20" s="42" t="s">
        <v>48</v>
      </c>
      <c r="P20" s="42" t="s">
        <v>49</v>
      </c>
      <c r="Q20" s="38" t="s">
        <v>50</v>
      </c>
      <c r="U20" s="43" t="s">
        <v>51</v>
      </c>
    </row>
    <row r="21" spans="1:21" s="23" customFormat="1" ht="12.95" customHeight="1" x14ac:dyDescent="0.2">
      <c r="A21" s="23" t="s">
        <v>18</v>
      </c>
      <c r="C21" s="32">
        <v>56564.549000000115</v>
      </c>
      <c r="D21" s="32" t="s">
        <v>6</v>
      </c>
      <c r="E21" s="23">
        <f>+(C21-C$7)/C$8</f>
        <v>0</v>
      </c>
      <c r="F21" s="23">
        <f>ROUND(2*E21,0)/2</f>
        <v>0</v>
      </c>
      <c r="G21" s="23">
        <f>+C21-(C$7+F21*C$8)</f>
        <v>0</v>
      </c>
      <c r="I21" s="23">
        <f>+G21</f>
        <v>0</v>
      </c>
      <c r="O21" s="23">
        <f ca="1">+C$11+C$12*$F21</f>
        <v>1.2397704404114203E-3</v>
      </c>
      <c r="Q21" s="44">
        <f>+C21-15018.5</f>
        <v>41546.049000000115</v>
      </c>
    </row>
    <row r="22" spans="1:21" s="23" customFormat="1" ht="12.95" customHeight="1" x14ac:dyDescent="0.2">
      <c r="A22" s="17" t="s">
        <v>52</v>
      </c>
      <c r="B22" s="18" t="s">
        <v>53</v>
      </c>
      <c r="C22" s="17">
        <v>56564.378859999997</v>
      </c>
      <c r="D22" s="17">
        <v>4.8000000000000001E-4</v>
      </c>
      <c r="E22" s="23">
        <f>+(C22-C$7)/C$8</f>
        <v>-0.49235025369438734</v>
      </c>
      <c r="F22" s="23">
        <f>ROUND(2*E22,0)/2</f>
        <v>-0.5</v>
      </c>
      <c r="G22" s="23">
        <f>+C22-(C$7+F22*C$8)</f>
        <v>2.6434998799231835E-3</v>
      </c>
      <c r="K22" s="23">
        <f t="shared" ref="K22:K28" si="0">+G22</f>
        <v>2.6434998799231835E-3</v>
      </c>
      <c r="O22" s="23">
        <f ca="1">+C$11+C$12*$F22</f>
        <v>1.2408064988009037E-3</v>
      </c>
      <c r="Q22" s="44">
        <f>+C22-15018.5</f>
        <v>41545.878859999997</v>
      </c>
    </row>
    <row r="23" spans="1:21" s="23" customFormat="1" ht="12.95" customHeight="1" x14ac:dyDescent="0.2">
      <c r="A23" s="17" t="s">
        <v>52</v>
      </c>
      <c r="B23" s="18" t="s">
        <v>54</v>
      </c>
      <c r="C23" s="17">
        <v>56564.548560000003</v>
      </c>
      <c r="D23" s="17">
        <v>4.6999999999999999E-4</v>
      </c>
      <c r="E23" s="23">
        <f>+(C23-C$7)/C$8</f>
        <v>-1.2732700534945308E-3</v>
      </c>
      <c r="F23" s="23">
        <f>ROUND(2*E23,0)/2</f>
        <v>0</v>
      </c>
      <c r="G23" s="23">
        <f>+C23-(C$7+F23*C$8)</f>
        <v>-4.4000011257594451E-4</v>
      </c>
      <c r="K23" s="23">
        <f t="shared" si="0"/>
        <v>-4.4000011257594451E-4</v>
      </c>
      <c r="O23" s="23">
        <f ca="1">+C$11+C$12*$F23</f>
        <v>1.2397704404114203E-3</v>
      </c>
      <c r="Q23" s="44">
        <f>+C23-15018.5</f>
        <v>41546.048560000003</v>
      </c>
    </row>
    <row r="24" spans="1:21" s="23" customFormat="1" ht="12.95" customHeight="1" x14ac:dyDescent="0.2">
      <c r="A24" s="19" t="s">
        <v>55</v>
      </c>
      <c r="B24" s="20"/>
      <c r="C24" s="17">
        <v>56568.350599999998</v>
      </c>
      <c r="D24" s="19">
        <v>7.1000000000000004E-3</v>
      </c>
      <c r="E24" s="23">
        <f>+(C24-C$7)/C$8</f>
        <v>11.001050447185222</v>
      </c>
      <c r="F24" s="23">
        <f>ROUND(2*E24,0)/2</f>
        <v>11</v>
      </c>
      <c r="G24" s="23">
        <f>+C24-(C$7+F24*C$8)</f>
        <v>3.6299988278187811E-4</v>
      </c>
      <c r="K24" s="23">
        <f t="shared" si="0"/>
        <v>3.6299988278187811E-4</v>
      </c>
      <c r="O24" s="23">
        <f ca="1">+C$11+C$12*$F24</f>
        <v>1.2169771558427844E-3</v>
      </c>
      <c r="Q24" s="44">
        <f>+C24-15018.5</f>
        <v>41549.850599999998</v>
      </c>
    </row>
    <row r="25" spans="1:21" s="23" customFormat="1" ht="12.95" customHeight="1" x14ac:dyDescent="0.2">
      <c r="A25" s="21" t="s">
        <v>56</v>
      </c>
      <c r="B25" s="22" t="s">
        <v>54</v>
      </c>
      <c r="C25" s="46">
        <v>59512.395900000003</v>
      </c>
      <c r="D25" s="47">
        <v>1E-3</v>
      </c>
      <c r="E25" s="23">
        <f t="shared" ref="E25:E28" si="1">+(C25-C$7)/C$8</f>
        <v>8530.4641357533783</v>
      </c>
      <c r="F25" s="23">
        <f t="shared" ref="F25:F28" si="2">ROUND(2*E25,0)/2</f>
        <v>8530.5</v>
      </c>
      <c r="G25" s="23">
        <f t="shared" ref="G25:G28" si="3">+C25-(C$7+F25*C$8)</f>
        <v>-1.239350011019269E-2</v>
      </c>
      <c r="K25" s="23">
        <f t="shared" si="0"/>
        <v>-1.239350011019269E-2</v>
      </c>
      <c r="O25" s="23">
        <f t="shared" ref="O25:O28" ca="1" si="4">+C$11+C$12*$F25</f>
        <v>-1.6436421742565776E-2</v>
      </c>
      <c r="Q25" s="44">
        <f t="shared" ref="Q25:Q28" si="5">+C25-15018.5</f>
        <v>44493.895900000003</v>
      </c>
    </row>
    <row r="26" spans="1:21" s="23" customFormat="1" ht="12.95" customHeight="1" x14ac:dyDescent="0.2">
      <c r="A26" s="21" t="s">
        <v>56</v>
      </c>
      <c r="B26" s="22" t="s">
        <v>54</v>
      </c>
      <c r="C26" s="46">
        <v>59512.5674</v>
      </c>
      <c r="D26" s="47">
        <v>1.2999999999999999E-3</v>
      </c>
      <c r="E26" s="23">
        <f t="shared" si="1"/>
        <v>8530.9604215676973</v>
      </c>
      <c r="F26" s="23">
        <f t="shared" si="2"/>
        <v>8531</v>
      </c>
      <c r="G26" s="23">
        <f t="shared" si="3"/>
        <v>-1.3677000119059812E-2</v>
      </c>
      <c r="K26" s="23">
        <f t="shared" si="0"/>
        <v>-1.3677000119059812E-2</v>
      </c>
      <c r="O26" s="23">
        <f t="shared" ca="1" si="4"/>
        <v>-1.643745780095526E-2</v>
      </c>
      <c r="Q26" s="44">
        <f t="shared" si="5"/>
        <v>44494.0674</v>
      </c>
    </row>
    <row r="27" spans="1:21" s="23" customFormat="1" ht="12.95" customHeight="1" x14ac:dyDescent="0.2">
      <c r="A27" s="21" t="s">
        <v>57</v>
      </c>
      <c r="B27" s="22" t="s">
        <v>54</v>
      </c>
      <c r="C27" s="46">
        <v>59552.998999999836</v>
      </c>
      <c r="D27" s="47" t="s">
        <v>58</v>
      </c>
      <c r="E27" s="23">
        <f t="shared" si="1"/>
        <v>8647.9611768476752</v>
      </c>
      <c r="F27" s="23">
        <f t="shared" si="2"/>
        <v>8648</v>
      </c>
      <c r="G27" s="23">
        <f t="shared" si="3"/>
        <v>-1.3416000278084539E-2</v>
      </c>
      <c r="K27" s="23">
        <f t="shared" si="0"/>
        <v>-1.3416000278084539E-2</v>
      </c>
      <c r="O27" s="23">
        <f t="shared" ca="1" si="4"/>
        <v>-1.6679895464094388E-2</v>
      </c>
      <c r="Q27" s="44">
        <f t="shared" si="5"/>
        <v>44534.498999999836</v>
      </c>
    </row>
    <row r="28" spans="1:21" s="23" customFormat="1" ht="12.95" customHeight="1" x14ac:dyDescent="0.2">
      <c r="A28" s="21" t="s">
        <v>57</v>
      </c>
      <c r="B28" s="22" t="s">
        <v>54</v>
      </c>
      <c r="C28" s="46">
        <v>59553.171899999958</v>
      </c>
      <c r="D28" s="47" t="s">
        <v>58</v>
      </c>
      <c r="E28" s="23">
        <f t="shared" si="1"/>
        <v>8648.461513975124</v>
      </c>
      <c r="F28" s="23">
        <f t="shared" si="2"/>
        <v>8648.5</v>
      </c>
      <c r="G28" s="23">
        <f t="shared" si="3"/>
        <v>-1.3299500154971611E-2</v>
      </c>
      <c r="K28" s="23">
        <f t="shared" si="0"/>
        <v>-1.3299500154971611E-2</v>
      </c>
      <c r="O28" s="23">
        <f t="shared" ca="1" si="4"/>
        <v>-1.6680931522483872E-2</v>
      </c>
      <c r="Q28" s="44">
        <f t="shared" si="5"/>
        <v>44534.671899999958</v>
      </c>
    </row>
    <row r="29" spans="1:21" x14ac:dyDescent="0.2">
      <c r="A29" s="48" t="s">
        <v>59</v>
      </c>
      <c r="B29" s="49" t="s">
        <v>54</v>
      </c>
      <c r="C29" s="50">
        <v>60167.399100000039</v>
      </c>
      <c r="D29" s="48">
        <v>2.9999999999999997E-4</v>
      </c>
      <c r="E29" s="23">
        <f t="shared" ref="E29" si="6">+(C29-C$7)/C$8</f>
        <v>10425.909013302553</v>
      </c>
      <c r="F29" s="23">
        <f t="shared" ref="F29" si="7">ROUND(2*E29,0)/2</f>
        <v>10426</v>
      </c>
      <c r="G29" s="23">
        <f t="shared" ref="G29" si="8">+C29-(C$7+F29*C$8)</f>
        <v>-3.144200007955078E-2</v>
      </c>
      <c r="H29" s="23"/>
      <c r="I29" s="23"/>
      <c r="J29" s="23"/>
      <c r="K29" s="23">
        <f t="shared" ref="K29" si="9">+G29</f>
        <v>-3.144200007955078E-2</v>
      </c>
      <c r="L29" s="23"/>
      <c r="M29" s="23"/>
      <c r="N29" s="23"/>
      <c r="O29" s="23">
        <f t="shared" ref="O29" ca="1" si="10">+C$11+C$12*$F29</f>
        <v>-2.0364119097097545E-2</v>
      </c>
      <c r="P29" s="23"/>
      <c r="Q29" s="44">
        <f t="shared" ref="Q29" si="11">+C29-15018.5</f>
        <v>45148.899100000039</v>
      </c>
    </row>
    <row r="30" spans="1:21" x14ac:dyDescent="0.2">
      <c r="C30" s="16"/>
      <c r="D30" s="16"/>
    </row>
    <row r="31" spans="1:21" x14ac:dyDescent="0.2">
      <c r="C31" s="16"/>
      <c r="D31" s="16"/>
    </row>
    <row r="32" spans="1:21" x14ac:dyDescent="0.2">
      <c r="C32" s="16"/>
      <c r="D32" s="16"/>
    </row>
    <row r="33" spans="3:4" x14ac:dyDescent="0.2">
      <c r="C33" s="16"/>
      <c r="D33" s="16"/>
    </row>
    <row r="34" spans="3:4" x14ac:dyDescent="0.2">
      <c r="C34" s="16"/>
      <c r="D34" s="16"/>
    </row>
    <row r="35" spans="3:4" x14ac:dyDescent="0.2">
      <c r="C35" s="16"/>
      <c r="D35" s="16"/>
    </row>
    <row r="36" spans="3:4" x14ac:dyDescent="0.2">
      <c r="C36" s="16"/>
      <c r="D36" s="1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2023-01-24T01:51:06Z</dcterms:created>
  <dcterms:modified xsi:type="dcterms:W3CDTF">2025-01-07T23:38:51Z</dcterms:modified>
</cp:coreProperties>
</file>