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DCE5819-3D99-4A19-82AA-4BE0854026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F14" i="1"/>
  <c r="E23" i="1"/>
  <c r="F23" i="1" s="1"/>
  <c r="G23" i="1" s="1"/>
  <c r="I23" i="1" s="1"/>
  <c r="Q23" i="1"/>
  <c r="G11" i="1"/>
  <c r="F11" i="1"/>
  <c r="C7" i="1"/>
  <c r="C8" i="1"/>
  <c r="E21" i="1"/>
  <c r="F21" i="1"/>
  <c r="G21" i="1"/>
  <c r="H21" i="1"/>
  <c r="E22" i="1"/>
  <c r="F22" i="1"/>
  <c r="G22" i="1"/>
  <c r="I22" i="1"/>
  <c r="Q22" i="1"/>
  <c r="C17" i="1"/>
  <c r="R22" i="1"/>
  <c r="Q21" i="1"/>
  <c r="C11" i="1"/>
  <c r="F15" i="1" l="1"/>
  <c r="C12" i="1"/>
  <c r="O24" i="1" l="1"/>
  <c r="C16" i="1"/>
  <c r="D18" i="1" s="1"/>
  <c r="O23" i="1"/>
  <c r="C15" i="1"/>
  <c r="O22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<sst xmlns="http://schemas.openxmlformats.org/spreadsheetml/2006/main" count="56" uniqueCount="52">
  <si>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</si>
  <si>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</si>
  <si>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</si>
  <si>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</si>
  <si>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</si>
  <si>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</si>
  <si>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</si>
  <si>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</si>
  <si>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</si>
  <si>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</si>
  <si>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</si>
  <si>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</si>
  <si>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</si>
  <si>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</si>
  <si>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</si>
  <si>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</si>
  <si>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</si>
  <si>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</si>
  <si>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</si>
  <si>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</si>
  <si>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</si>
  <si>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</si>
  <si>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</si>
  <si>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</si>
  <si>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</si>
  <si>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</si>
  <si>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</si>
  <si>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</si>
  <si>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</si>
  <si>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</si>
  <si>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</si>
  <si>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</si>
  <si>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</si>
  <si>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</si>
  <si>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</si>
  <si>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AZ Pup / GSC 7130-1772</t>
  </si>
  <si>
    <t>IBVS 5917</t>
  </si>
  <si>
    <t>I</t>
  </si>
  <si>
    <t>EB</t>
  </si>
  <si>
    <t>GCVS</t>
  </si>
  <si>
    <t>JBAV, 79</t>
  </si>
  <si>
    <t>CCD</t>
  </si>
  <si>
    <t>S3</t>
  </si>
  <si>
    <t>JBAV 96</t>
  </si>
  <si>
    <t>Add cycle</t>
  </si>
  <si>
    <t>Old Cycle</t>
  </si>
  <si>
    <t>Next ToM-P</t>
  </si>
  <si>
    <t>Next ToM-S</t>
  </si>
  <si>
    <t>9.70-10.20</t>
  </si>
  <si>
    <t>Mag p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</si>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</sst>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4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4" fontId="15" fillId="0" borderId="0" xfId="1" applyFont="1" applyBorder="1" applyAlignment="1">
      <alignment vertical="center"/>
    </xf>
    <xf numFmtId="165" fontId="15" fillId="0" borderId="0" xfId="0" applyNumberFormat="1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4" fontId="15" fillId="0" borderId="0" xfId="1" applyFont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16" fillId="0" borderId="8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1" xfId="0" applyNumberFormat="1" applyFont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Pup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  <c:pt idx="3">
                  <c:v>37232.5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FC-4BFC-8126-A29439A374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  <c:pt idx="3">
                  <c:v>37232.5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0.20752457500202581</c:v>
                </c:pt>
                <c:pt idx="2">
                  <c:v>-0.21617354013142176</c:v>
                </c:pt>
                <c:pt idx="3">
                  <c:v>0.2157417748021544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FC-4BFC-8126-A29439A374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  <c:pt idx="3">
                  <c:v>37232.5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FC-4BFC-8126-A29439A374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  <c:pt idx="3">
                  <c:v>37232.5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FC-4BFC-8126-A29439A374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  <c:pt idx="3">
                  <c:v>37232.5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FC-4BFC-8126-A29439A374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  <c:pt idx="3">
                  <c:v>37232.5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FC-4BFC-8126-A29439A374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  <c:pt idx="3">
                  <c:v>37232.5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FC-4BFC-8126-A29439A374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  <c:pt idx="3">
                  <c:v>37232.5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2.4343129817789994E-2</c:v>
                </c:pt>
                <c:pt idx="1">
                  <c:v>5.6330841127862512E-2</c:v>
                </c:pt>
                <c:pt idx="2">
                  <c:v>6.2991864086860472E-2</c:v>
                </c:pt>
                <c:pt idx="3">
                  <c:v>6.3426974640245493E-2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FC-4BFC-8126-A29439A374DE}"/>
            </c:ext>
          </c:extLst>
        </c:ser>
        <c:ser>
          <c:idx val="8"/>
          <c:order val="8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30472.5</c:v>
                </c:pt>
                <c:pt idx="2">
                  <c:v>36818</c:v>
                </c:pt>
                <c:pt idx="3">
                  <c:v>37232.5</c:v>
                </c:pt>
              </c:numCache>
            </c:numRef>
          </c:xVal>
          <c:yVal>
            <c:numRef>
              <c:f>Active!$T$21:$T$999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0E-4033-A44A-E9DC9277F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442248"/>
        <c:axId val="1"/>
      </c:scatterChart>
      <c:valAx>
        <c:axId val="575442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442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834586466165413"/>
          <c:h val="5.65876112332805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D0121D-D234-CD57-C0E6-4BB6CF5B5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T20" sqref="T2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5703125" customWidth="1"/>
    <col min="6" max="6" width="14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s="8" customFormat="1" ht="12.95" customHeight="1" x14ac:dyDescent="0.2">
      <c r="A2" s="8" t="s">
        <v>24</v>
      </c>
      <c r="B2" s="8" t="s">
        <v>38</v>
      </c>
      <c r="C2" s="9"/>
      <c r="D2" s="9"/>
    </row>
    <row r="3" spans="1:7" s="8" customFormat="1" ht="12.95" customHeight="1" thickBot="1" x14ac:dyDescent="0.25"/>
    <row r="4" spans="1:7" s="8" customFormat="1" ht="12.95" customHeight="1" thickTop="1" thickBot="1" x14ac:dyDescent="0.25">
      <c r="A4" s="10" t="s">
        <v>0</v>
      </c>
      <c r="C4" s="11">
        <v>28110.87</v>
      </c>
      <c r="D4" s="12">
        <v>0.86737052999999997</v>
      </c>
    </row>
    <row r="5" spans="1:7" s="8" customFormat="1" ht="12.95" customHeight="1" x14ac:dyDescent="0.2"/>
    <row r="6" spans="1:7" s="8" customFormat="1" ht="12.95" customHeight="1" x14ac:dyDescent="0.2">
      <c r="A6" s="10" t="s">
        <v>1</v>
      </c>
    </row>
    <row r="7" spans="1:7" s="8" customFormat="1" ht="12.95" customHeight="1" x14ac:dyDescent="0.2">
      <c r="A7" s="8" t="s">
        <v>2</v>
      </c>
      <c r="C7" s="8">
        <f>+C4</f>
        <v>28110.87</v>
      </c>
      <c r="D7" s="45" t="s">
        <v>50</v>
      </c>
    </row>
    <row r="8" spans="1:7" s="8" customFormat="1" ht="12.95" customHeight="1" x14ac:dyDescent="0.2">
      <c r="A8" s="8" t="s">
        <v>3</v>
      </c>
      <c r="C8" s="8">
        <f>+D4</f>
        <v>0.86737052999999997</v>
      </c>
      <c r="D8" s="45" t="s">
        <v>50</v>
      </c>
    </row>
    <row r="9" spans="1:7" s="8" customFormat="1" ht="12.95" customHeight="1" x14ac:dyDescent="0.2">
      <c r="A9" s="13" t="s">
        <v>30</v>
      </c>
      <c r="C9" s="14">
        <v>-9.5</v>
      </c>
      <c r="D9" s="8" t="s">
        <v>31</v>
      </c>
    </row>
    <row r="10" spans="1:7" s="8" customFormat="1" ht="12.95" customHeight="1" thickBot="1" x14ac:dyDescent="0.25">
      <c r="C10" s="15" t="s">
        <v>20</v>
      </c>
      <c r="D10" s="15" t="s">
        <v>21</v>
      </c>
    </row>
    <row r="11" spans="1:7" s="8" customFormat="1" ht="12.95" customHeight="1" x14ac:dyDescent="0.2">
      <c r="A11" s="8" t="s">
        <v>16</v>
      </c>
      <c r="C11" s="16">
        <f ca="1">INTERCEPT(INDIRECT($G$11):G991,INDIRECT($F$11):F991)</f>
        <v>2.4343129817789994E-2</v>
      </c>
      <c r="D11" s="9"/>
      <c r="F11" s="17" t="str">
        <f>"F"&amp;E19</f>
        <v>F21</v>
      </c>
      <c r="G11" s="16" t="str">
        <f>"G"&amp;E19</f>
        <v>G21</v>
      </c>
    </row>
    <row r="12" spans="1:7" s="8" customFormat="1" ht="12.95" customHeight="1" x14ac:dyDescent="0.2">
      <c r="A12" s="8" t="s">
        <v>17</v>
      </c>
      <c r="C12" s="16">
        <f ca="1">SLOPE(INDIRECT($G$11):G991,INDIRECT($F$11):F991)</f>
        <v>1.0497238923643454E-6</v>
      </c>
      <c r="D12" s="9"/>
      <c r="E12" s="44" t="s">
        <v>49</v>
      </c>
      <c r="F12" s="43" t="s">
        <v>48</v>
      </c>
    </row>
    <row r="13" spans="1:7" s="8" customFormat="1" ht="12.95" customHeight="1" x14ac:dyDescent="0.2">
      <c r="A13" s="8" t="s">
        <v>19</v>
      </c>
      <c r="C13" s="9" t="s">
        <v>14</v>
      </c>
      <c r="D13" s="9"/>
      <c r="E13" s="36" t="s">
        <v>44</v>
      </c>
      <c r="F13" s="39">
        <v>1</v>
      </c>
    </row>
    <row r="14" spans="1:7" s="8" customFormat="1" ht="12.95" customHeight="1" x14ac:dyDescent="0.2">
      <c r="E14" s="36" t="s">
        <v>32</v>
      </c>
      <c r="F14" s="40">
        <f ca="1">NOW()+15018.5+$C$5/24</f>
        <v>60683.956303240739</v>
      </c>
    </row>
    <row r="15" spans="1:7" s="8" customFormat="1" ht="12.95" customHeight="1" x14ac:dyDescent="0.2">
      <c r="A15" s="18" t="s">
        <v>18</v>
      </c>
      <c r="C15" s="19">
        <f ca="1">(C7+C11)+(C8+C12)*INT(MAX(F21:F3532))</f>
        <v>60404.872999409781</v>
      </c>
      <c r="D15" s="20"/>
      <c r="E15" s="36" t="s">
        <v>45</v>
      </c>
      <c r="F15" s="40">
        <f ca="1">ROUND(2*($F$14-$C$7)/$C$8,0)/2+$F$13</f>
        <v>37555</v>
      </c>
    </row>
    <row r="16" spans="1:7" s="8" customFormat="1" ht="12.95" customHeight="1" x14ac:dyDescent="0.2">
      <c r="A16" s="10" t="s">
        <v>4</v>
      </c>
      <c r="C16" s="21">
        <f ca="1">+C8+C12</f>
        <v>0.86737157972389234</v>
      </c>
      <c r="D16" s="20"/>
      <c r="E16" s="36" t="s">
        <v>33</v>
      </c>
      <c r="F16" s="40">
        <f ca="1">ROUND(2*($F$14-$C$15)/$C$16,0)/2+$F$13</f>
        <v>323</v>
      </c>
    </row>
    <row r="17" spans="1:20" s="8" customFormat="1" ht="12.95" customHeight="1" thickBot="1" x14ac:dyDescent="0.25">
      <c r="A17" s="20" t="s">
        <v>29</v>
      </c>
      <c r="C17" s="8">
        <f>COUNT(C21:C2190)</f>
        <v>4</v>
      </c>
      <c r="D17" s="20"/>
      <c r="E17" s="37" t="s">
        <v>46</v>
      </c>
      <c r="F17" s="41">
        <f ca="1">+$C$15+$C$16*$F$16-15018.5-$C$5/24</f>
        <v>45666.534019660598</v>
      </c>
    </row>
    <row r="18" spans="1:20" s="8" customFormat="1" ht="12.95" customHeight="1" thickTop="1" thickBot="1" x14ac:dyDescent="0.25">
      <c r="A18" s="10" t="s">
        <v>5</v>
      </c>
      <c r="C18" s="22">
        <f ca="1">+C15</f>
        <v>60404.872999409781</v>
      </c>
      <c r="D18" s="35">
        <f ca="1">+C16</f>
        <v>0.86737157972389234</v>
      </c>
      <c r="E18" s="38" t="s">
        <v>47</v>
      </c>
      <c r="F18" s="42">
        <f ca="1">+($C$15+$C$16*$F$16)-($C$16/2)-15018.5-$C$5/24</f>
        <v>45666.100333870738</v>
      </c>
    </row>
    <row r="19" spans="1:20" s="8" customFormat="1" ht="12.95" customHeight="1" thickTop="1" x14ac:dyDescent="0.2">
      <c r="A19" s="23" t="s">
        <v>34</v>
      </c>
      <c r="E19" s="24">
        <v>21</v>
      </c>
    </row>
    <row r="20" spans="1:20" s="8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13</v>
      </c>
      <c r="E20" s="15" t="s">
        <v>9</v>
      </c>
      <c r="F20" s="15" t="s">
        <v>10</v>
      </c>
      <c r="G20" s="15" t="s">
        <v>11</v>
      </c>
      <c r="H20" s="25" t="s">
        <v>39</v>
      </c>
      <c r="I20" s="25" t="s">
        <v>41</v>
      </c>
      <c r="J20" s="25" t="s">
        <v>42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5" t="s">
        <v>15</v>
      </c>
      <c r="T20" s="46" t="s">
        <v>51</v>
      </c>
    </row>
    <row r="21" spans="1:20" s="8" customFormat="1" ht="12.95" customHeight="1" x14ac:dyDescent="0.2">
      <c r="A21" s="8" t="s">
        <v>12</v>
      </c>
      <c r="B21" s="9"/>
      <c r="C21" s="27">
        <v>28110.87</v>
      </c>
      <c r="D21" s="27" t="s">
        <v>14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2.4343129817789994E-2</v>
      </c>
      <c r="Q21" s="28">
        <f>+C21-15018.5</f>
        <v>13092.369999999999</v>
      </c>
    </row>
    <row r="22" spans="1:20" s="8" customFormat="1" ht="12.95" customHeight="1" x14ac:dyDescent="0.2">
      <c r="A22" s="5" t="s">
        <v>36</v>
      </c>
      <c r="B22" s="6" t="s">
        <v>37</v>
      </c>
      <c r="C22" s="7">
        <v>54542.025999999998</v>
      </c>
      <c r="D22" s="7">
        <v>4.0000000000000001E-3</v>
      </c>
      <c r="E22" s="8">
        <f>+(C22-C$7)/C$8</f>
        <v>30472.739257120022</v>
      </c>
      <c r="F22" s="8">
        <f>ROUND(2*E22,0)/2</f>
        <v>30472.5</v>
      </c>
      <c r="G22" s="8">
        <f>+C22-(C$7+F22*C$8)</f>
        <v>0.20752457500202581</v>
      </c>
      <c r="I22" s="8">
        <f>+G22</f>
        <v>0.20752457500202581</v>
      </c>
      <c r="O22" s="8">
        <f ca="1">+C$11+C$12*$F22</f>
        <v>5.6330841127862512E-2</v>
      </c>
      <c r="Q22" s="28">
        <f>+C22-15018.5</f>
        <v>39523.525999999998</v>
      </c>
      <c r="R22" s="8" t="str">
        <f>IF(ABS(C22-C21)&lt;0.00001,1,"")</f>
        <v/>
      </c>
    </row>
    <row r="23" spans="1:20" s="8" customFormat="1" ht="12.95" customHeight="1" x14ac:dyDescent="0.2">
      <c r="A23" s="29" t="s">
        <v>40</v>
      </c>
      <c r="B23" s="32" t="s">
        <v>37</v>
      </c>
      <c r="C23" s="30">
        <v>60045.501999999862</v>
      </c>
      <c r="D23" s="31">
        <v>3.0000000000000001E-3</v>
      </c>
      <c r="E23" s="8">
        <f>+(C23-C$7)/C$8</f>
        <v>36817.750771403153</v>
      </c>
      <c r="F23" s="8">
        <f>ROUND(2*E23,0)/2</f>
        <v>36818</v>
      </c>
      <c r="G23" s="8">
        <f>+C23-(C$7+F23*C$8)</f>
        <v>-0.21617354013142176</v>
      </c>
      <c r="I23" s="8">
        <f>+G23</f>
        <v>-0.21617354013142176</v>
      </c>
      <c r="O23" s="8">
        <f ca="1">+C$11+C$12*$F23</f>
        <v>6.2991864086860472E-2</v>
      </c>
      <c r="Q23" s="28">
        <f>+C23-15018.5</f>
        <v>45027.001999999862</v>
      </c>
    </row>
    <row r="24" spans="1:20" s="8" customFormat="1" ht="12.95" customHeight="1" x14ac:dyDescent="0.2">
      <c r="A24" s="33" t="s">
        <v>43</v>
      </c>
      <c r="B24" s="34" t="s">
        <v>37</v>
      </c>
      <c r="C24" s="30">
        <v>60405.458999999799</v>
      </c>
      <c r="D24" s="33">
        <v>3.0000000000000001E-3</v>
      </c>
      <c r="E24" s="8">
        <f>+(C24-C$7)/C$8</f>
        <v>37232.748730810352</v>
      </c>
      <c r="F24" s="8">
        <f>ROUND(2*E24,0)/2</f>
        <v>37232.5</v>
      </c>
      <c r="G24" s="8">
        <f>+C24-(C$7+F24*C$8)</f>
        <v>0.2157417748021544</v>
      </c>
      <c r="I24" s="8">
        <f>+G24</f>
        <v>0.2157417748021544</v>
      </c>
      <c r="O24" s="8">
        <f ca="1">+C$11+C$12*$F24</f>
        <v>6.3426974640245493E-2</v>
      </c>
      <c r="Q24" s="28">
        <f>+C24-15018.5</f>
        <v>45386.958999999799</v>
      </c>
    </row>
    <row r="25" spans="1:20" s="8" customFormat="1" ht="12.95" customHeight="1" x14ac:dyDescent="0.2">
      <c r="B25" s="9"/>
      <c r="C25" s="27"/>
      <c r="D25" s="27"/>
      <c r="Q25" s="28"/>
    </row>
    <row r="26" spans="1:20" s="8" customFormat="1" ht="12.95" customHeight="1" x14ac:dyDescent="0.2">
      <c r="B26" s="9"/>
      <c r="C26" s="27"/>
      <c r="D26" s="27"/>
      <c r="Q26" s="28"/>
    </row>
    <row r="27" spans="1:20" s="8" customFormat="1" ht="12.95" customHeight="1" x14ac:dyDescent="0.2">
      <c r="B27" s="9"/>
      <c r="C27" s="27"/>
      <c r="D27" s="27"/>
      <c r="Q27" s="28"/>
    </row>
    <row r="28" spans="1:20" s="8" customFormat="1" ht="12.95" customHeight="1" x14ac:dyDescent="0.2">
      <c r="B28" s="9"/>
      <c r="C28" s="27"/>
      <c r="D28" s="27"/>
      <c r="Q28" s="28"/>
    </row>
    <row r="29" spans="1:20" s="8" customFormat="1" ht="12.95" customHeight="1" x14ac:dyDescent="0.2">
      <c r="B29" s="9"/>
      <c r="C29" s="27"/>
      <c r="D29" s="27"/>
      <c r="Q29" s="28"/>
    </row>
    <row r="30" spans="1:20" s="8" customFormat="1" ht="12.95" customHeight="1" x14ac:dyDescent="0.2">
      <c r="B30" s="9"/>
      <c r="C30" s="27"/>
      <c r="D30" s="27"/>
      <c r="Q30" s="28"/>
    </row>
    <row r="31" spans="1:20" x14ac:dyDescent="0.2">
      <c r="B31" s="3"/>
      <c r="C31" s="4"/>
      <c r="D31" s="4"/>
      <c r="Q31" s="2"/>
    </row>
    <row r="32" spans="1:20" x14ac:dyDescent="0.2">
      <c r="B32" s="3"/>
      <c r="C32" s="4"/>
      <c r="D32" s="4"/>
      <c r="Q32" s="2"/>
    </row>
    <row r="33" spans="3:4" x14ac:dyDescent="0.2">
      <c r="C33" s="4"/>
      <c r="D33" s="4"/>
    </row>
    <row r="34" spans="3:4" x14ac:dyDescent="0.2">
      <c r="C34" s="4"/>
      <c r="D34" s="4"/>
    </row>
    <row r="35" spans="3:4" x14ac:dyDescent="0.2">
      <c r="C35" s="4"/>
      <c r="D35" s="4"/>
    </row>
    <row r="36" spans="3:4" x14ac:dyDescent="0.2">
      <c r="C36" s="4"/>
      <c r="D36" s="4"/>
    </row>
    <row r="37" spans="3:4" x14ac:dyDescent="0.2">
      <c r="C37" s="4"/>
      <c r="D37" s="4"/>
    </row>
    <row r="38" spans="3:4" x14ac:dyDescent="0.2">
      <c r="C38" s="4"/>
      <c r="D38" s="4"/>
    </row>
    <row r="39" spans="3:4" x14ac:dyDescent="0.2">
      <c r="C39" s="4"/>
      <c r="D39" s="4"/>
    </row>
    <row r="40" spans="3:4" x14ac:dyDescent="0.2">
      <c r="C40" s="4"/>
      <c r="D40" s="4"/>
    </row>
    <row r="41" spans="3:4" x14ac:dyDescent="0.2">
      <c r="C41" s="4"/>
      <c r="D41" s="4"/>
    </row>
    <row r="42" spans="3:4" x14ac:dyDescent="0.2">
      <c r="C42" s="4"/>
      <c r="D42" s="4"/>
    </row>
    <row r="43" spans="3:4" x14ac:dyDescent="0.2">
      <c r="C43" s="4"/>
      <c r="D43" s="4"/>
    </row>
    <row r="44" spans="3:4" x14ac:dyDescent="0.2">
      <c r="C44" s="4"/>
      <c r="D44" s="4"/>
    </row>
    <row r="45" spans="3:4" x14ac:dyDescent="0.2">
      <c r="C45" s="4"/>
      <c r="D45" s="4"/>
    </row>
    <row r="46" spans="3:4" x14ac:dyDescent="0.2">
      <c r="C46" s="4"/>
      <c r="D46" s="4"/>
    </row>
    <row r="47" spans="3:4" x14ac:dyDescent="0.2">
      <c r="C47" s="4"/>
      <c r="D47" s="4"/>
    </row>
    <row r="48" spans="3:4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2025-01-08T00:27:04Z</dcterms:modified>
</cp:coreProperties>
</file>