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6EE0571-3EE1-4C7B-8106-66FB556F6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Q25" i="1"/>
  <c r="F14" i="1"/>
  <c r="C17" i="1"/>
  <c r="Q22" i="1"/>
  <c r="Q23" i="1"/>
  <c r="Q24" i="1"/>
  <c r="C8" i="1"/>
  <c r="C7" i="1"/>
  <c r="Q21" i="1"/>
  <c r="G23" i="1"/>
  <c r="I23" i="1"/>
  <c r="E23" i="1"/>
  <c r="F23" i="1"/>
  <c r="E22" i="1"/>
  <c r="F22" i="1"/>
  <c r="G22" i="1"/>
  <c r="I22" i="1"/>
  <c r="E24" i="1"/>
  <c r="F24" i="1"/>
  <c r="G24" i="1"/>
  <c r="I24" i="1"/>
  <c r="E21" i="1"/>
  <c r="F21" i="1"/>
  <c r="G21" i="1"/>
  <c r="H21" i="1"/>
  <c r="C11" i="1" l="1"/>
  <c r="I25" i="1"/>
  <c r="C12" i="1"/>
  <c r="C16" i="1" s="1"/>
  <c r="D18" i="1" s="1"/>
  <c r="F15" i="1"/>
  <c r="O23" i="1" l="1"/>
  <c r="O25" i="1"/>
  <c r="O24" i="1"/>
  <c r="O21" i="1"/>
  <c r="O22" i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<sst xmlns="http://schemas.openxmlformats.org/spreadsheetml/2006/main" count="59" uniqueCount="52">
  <si>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</si>
  <si>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</si>
  <si>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</si>
  <si>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</si>
  <si>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</si>
  <si>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</si>
  <si>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</si>
  <si>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</si>
  <si>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</si>
  <si>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</si>
  <si>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</si>
  <si>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</si>
  <si>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</si>
  <si>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</si>
  <si>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</si>
  <si>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</si>
  <si>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</si>
  <si>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</si>
  <si>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</si>
  <si>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</si>
  <si>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</si>
  <si>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</si>
  <si>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</si>
  <si>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</si>
  <si>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</si>
  <si>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</si>
  <si>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</si>
  <si>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</si>
  <si>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</si>
  <si>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</si>
  <si>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</si>
  <si>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Bull...21</t>
  </si>
  <si>
    <t>B</t>
  </si>
  <si>
    <t>BBSAG Bull...28</t>
  </si>
  <si>
    <t>BBSAG Bull.1</t>
  </si>
  <si>
    <t># of data points:</t>
  </si>
  <si>
    <t>EB/KE</t>
  </si>
  <si>
    <t>EQ Pup / GSC 06544-00690</t>
  </si>
  <si>
    <t>Add cycle</t>
  </si>
  <si>
    <t>JD today</t>
  </si>
  <si>
    <t>Old Cycle</t>
  </si>
  <si>
    <t>New Cycle</t>
  </si>
  <si>
    <t>My time zone &gt;&gt;&gt;&gt;&gt;</t>
  </si>
  <si>
    <t>CCD</t>
  </si>
  <si>
    <t>vis?</t>
  </si>
  <si>
    <t>JBAV 96</t>
  </si>
  <si>
    <t>I</t>
  </si>
  <si>
    <t>Next ToM-P</t>
  </si>
  <si>
    <t>Next ToM-S</t>
  </si>
  <si>
    <t>10.20-11.00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</si>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</sst>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indexed="2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/>
    </xf>
    <xf numFmtId="0" fontId="17" fillId="0" borderId="9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22" fontId="19" fillId="0" borderId="12" xfId="0" applyNumberFormat="1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Pup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213070276327"/>
          <c:y val="0.11341463414634144"/>
          <c:w val="0.7911992391400513"/>
          <c:h val="0.65846040586390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13025</c:v>
                </c:pt>
                <c:pt idx="2">
                  <c:v>13401</c:v>
                </c:pt>
                <c:pt idx="3">
                  <c:v>13695</c:v>
                </c:pt>
                <c:pt idx="4">
                  <c:v>30371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91-4261-8CB9-F59B4706F3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13025</c:v>
                </c:pt>
                <c:pt idx="2">
                  <c:v>13401</c:v>
                </c:pt>
                <c:pt idx="3">
                  <c:v>13695</c:v>
                </c:pt>
                <c:pt idx="4">
                  <c:v>30371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7.7499999970314093E-3</c:v>
                </c:pt>
                <c:pt idx="2">
                  <c:v>8.6999999621184543E-4</c:v>
                </c:pt>
                <c:pt idx="3">
                  <c:v>-1.2350000004516914E-2</c:v>
                </c:pt>
                <c:pt idx="4">
                  <c:v>0.11077000011573546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91-4261-8CB9-F59B4706F3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13025</c:v>
                </c:pt>
                <c:pt idx="2">
                  <c:v>13401</c:v>
                </c:pt>
                <c:pt idx="3">
                  <c:v>13695</c:v>
                </c:pt>
                <c:pt idx="4">
                  <c:v>30371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91-4261-8CB9-F59B4706F3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13025</c:v>
                </c:pt>
                <c:pt idx="2">
                  <c:v>13401</c:v>
                </c:pt>
                <c:pt idx="3">
                  <c:v>13695</c:v>
                </c:pt>
                <c:pt idx="4">
                  <c:v>30371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91-4261-8CB9-F59B4706F3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13025</c:v>
                </c:pt>
                <c:pt idx="2">
                  <c:v>13401</c:v>
                </c:pt>
                <c:pt idx="3">
                  <c:v>13695</c:v>
                </c:pt>
                <c:pt idx="4">
                  <c:v>30371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91-4261-8CB9-F59B4706F3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13025</c:v>
                </c:pt>
                <c:pt idx="2">
                  <c:v>13401</c:v>
                </c:pt>
                <c:pt idx="3">
                  <c:v>13695</c:v>
                </c:pt>
                <c:pt idx="4">
                  <c:v>30371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91-4261-8CB9-F59B4706F3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13025</c:v>
                </c:pt>
                <c:pt idx="2">
                  <c:v>13401</c:v>
                </c:pt>
                <c:pt idx="3">
                  <c:v>13695</c:v>
                </c:pt>
                <c:pt idx="4">
                  <c:v>30371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91-4261-8CB9-F59B4706F3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13025</c:v>
                </c:pt>
                <c:pt idx="2">
                  <c:v>13401</c:v>
                </c:pt>
                <c:pt idx="3">
                  <c:v>13695</c:v>
                </c:pt>
                <c:pt idx="4">
                  <c:v>30371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-3.3080549323921259E-2</c:v>
                </c:pt>
                <c:pt idx="1">
                  <c:v>1.7259443527480135E-2</c:v>
                </c:pt>
                <c:pt idx="2">
                  <c:v>1.8712636411328649E-2</c:v>
                </c:pt>
                <c:pt idx="3">
                  <c:v>1.9848909570508076E-2</c:v>
                </c:pt>
                <c:pt idx="4">
                  <c:v>8.4299559919066208E-2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91-4261-8CB9-F59B4706F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862736"/>
        <c:axId val="1"/>
      </c:scatterChart>
      <c:valAx>
        <c:axId val="78686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862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17</xdr:col>
      <xdr:colOff>57150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0FD3691-C713-45CC-EFB1-62C5E96D0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140625" customWidth="1"/>
    <col min="6" max="6" width="14.28515625" customWidth="1"/>
    <col min="7" max="7" width="16.28515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</row>
    <row r="2" spans="1:7" s="3" customFormat="1" ht="12.95" customHeight="1">
      <c r="A2" s="3" t="s">
        <v>26</v>
      </c>
      <c r="B2" s="4" t="s">
        <v>36</v>
      </c>
    </row>
    <row r="3" spans="1:7" s="3" customFormat="1" ht="12.95" customHeight="1"/>
    <row r="4" spans="1:7" s="3" customFormat="1" ht="12.95" customHeight="1">
      <c r="A4" s="5" t="s">
        <v>0</v>
      </c>
      <c r="C4" s="6">
        <v>25653.366000000002</v>
      </c>
      <c r="D4" s="7">
        <v>1.14313</v>
      </c>
    </row>
    <row r="5" spans="1:7" s="3" customFormat="1" ht="12.95" customHeight="1">
      <c r="A5" s="8" t="s">
        <v>42</v>
      </c>
      <c r="C5" s="9">
        <v>-9.5</v>
      </c>
    </row>
    <row r="6" spans="1:7" s="3" customFormat="1" ht="12.95" customHeight="1">
      <c r="A6" s="5" t="s">
        <v>1</v>
      </c>
    </row>
    <row r="7" spans="1:7" s="3" customFormat="1" ht="12.95" customHeight="1">
      <c r="A7" s="3" t="s">
        <v>2</v>
      </c>
      <c r="C7" s="3">
        <f>+C4</f>
        <v>25653.366000000002</v>
      </c>
      <c r="D7" s="36" t="s">
        <v>51</v>
      </c>
    </row>
    <row r="8" spans="1:7" s="3" customFormat="1" ht="12.95" customHeight="1">
      <c r="A8" s="3" t="s">
        <v>3</v>
      </c>
      <c r="C8" s="3">
        <f>+D4</f>
        <v>1.14313</v>
      </c>
      <c r="D8" s="36" t="s">
        <v>51</v>
      </c>
    </row>
    <row r="9" spans="1:7" s="3" customFormat="1" ht="12.95" customHeight="1"/>
    <row r="10" spans="1:7" s="3" customFormat="1" ht="12.95" customHeight="1" thickBot="1">
      <c r="C10" s="10" t="s">
        <v>21</v>
      </c>
      <c r="D10" s="10" t="s">
        <v>22</v>
      </c>
    </row>
    <row r="11" spans="1:7" s="3" customFormat="1" ht="12.95" customHeight="1">
      <c r="A11" s="3" t="s">
        <v>16</v>
      </c>
      <c r="C11" s="3">
        <f>INTERCEPT(G21:G993,$F21:$F993)</f>
        <v>-3.3080549323921259E-2</v>
      </c>
      <c r="D11" s="11"/>
    </row>
    <row r="12" spans="1:7" s="3" customFormat="1" ht="12.95" customHeight="1">
      <c r="A12" s="3" t="s">
        <v>17</v>
      </c>
      <c r="C12" s="3">
        <f>SLOPE(G21:G993,$F21:$F993)</f>
        <v>3.8648746910864793E-6</v>
      </c>
      <c r="D12" s="11"/>
      <c r="E12" s="35" t="s">
        <v>50</v>
      </c>
      <c r="F12" s="34" t="s">
        <v>49</v>
      </c>
    </row>
    <row r="13" spans="1:7" s="3" customFormat="1" ht="12.95" customHeight="1">
      <c r="A13" s="3" t="s">
        <v>20</v>
      </c>
      <c r="C13" s="11" t="s">
        <v>14</v>
      </c>
      <c r="D13" s="11"/>
      <c r="E13" s="28" t="s">
        <v>38</v>
      </c>
      <c r="F13" s="30">
        <v>1</v>
      </c>
      <c r="G13" s="13"/>
    </row>
    <row r="14" spans="1:7" s="3" customFormat="1" ht="12.95" customHeight="1">
      <c r="A14" s="3" t="s">
        <v>25</v>
      </c>
      <c r="E14" s="28" t="s">
        <v>39</v>
      </c>
      <c r="F14" s="31">
        <f ca="1">NOW()+15018.5+$C$5/24</f>
        <v>60683.564555671292</v>
      </c>
      <c r="G14" s="14"/>
    </row>
    <row r="15" spans="1:7" s="3" customFormat="1" ht="12.95" customHeight="1">
      <c r="A15" s="8" t="s">
        <v>18</v>
      </c>
      <c r="C15" s="14">
        <f>(C7+C11)+(C8+C12)*INT(MAX(F21:F3533))</f>
        <v>60371.451529559927</v>
      </c>
      <c r="E15" s="28" t="s">
        <v>40</v>
      </c>
      <c r="F15" s="31">
        <f ca="1">ROUND(2*($F$14-$C$7)/$C$8,0)/2+$F$13</f>
        <v>30645</v>
      </c>
      <c r="G15" s="15"/>
    </row>
    <row r="16" spans="1:7" s="3" customFormat="1" ht="12.95" customHeight="1">
      <c r="A16" s="5" t="s">
        <v>4</v>
      </c>
      <c r="C16" s="16">
        <f>+C8+C12</f>
        <v>1.1431338648746912</v>
      </c>
      <c r="E16" s="28" t="s">
        <v>41</v>
      </c>
      <c r="F16" s="31">
        <f ca="1">ROUND(2*($F$14-$C$15)/$C$16,0)/2+$F$13</f>
        <v>274</v>
      </c>
      <c r="G16" s="15"/>
    </row>
    <row r="17" spans="1:31" s="3" customFormat="1" ht="12.95" customHeight="1" thickBot="1">
      <c r="A17" s="12" t="s">
        <v>35</v>
      </c>
      <c r="C17" s="3">
        <f>COUNT(C21:C2191)</f>
        <v>5</v>
      </c>
      <c r="E17" s="28" t="s">
        <v>47</v>
      </c>
      <c r="F17" s="32">
        <f ca="1">+$C$15+$C$16*$F$16-15018.5-$C$5/24</f>
        <v>45666.566041868929</v>
      </c>
      <c r="G17" s="17"/>
    </row>
    <row r="18" spans="1:31" s="3" customFormat="1" ht="12.95" customHeight="1">
      <c r="A18" s="5" t="s">
        <v>5</v>
      </c>
      <c r="C18" s="6">
        <f>+C15</f>
        <v>60371.451529559927</v>
      </c>
      <c r="D18" s="27">
        <f>+C16</f>
        <v>1.1431338648746912</v>
      </c>
      <c r="E18" s="29" t="s">
        <v>48</v>
      </c>
      <c r="F18" s="33">
        <f ca="1">+($C$15+$C$16*$F$16)-($C$16/2)-15018.5-$C$5/24</f>
        <v>45665.994474936495</v>
      </c>
      <c r="G18" s="18"/>
    </row>
    <row r="19" spans="1:31" s="3" customFormat="1" ht="12.95" customHeight="1" thickTop="1"/>
    <row r="20" spans="1:31" s="3" customFormat="1" ht="12.95" customHeight="1" thickBot="1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19" t="s">
        <v>12</v>
      </c>
      <c r="I20" s="19" t="s">
        <v>44</v>
      </c>
      <c r="J20" s="19" t="s">
        <v>43</v>
      </c>
      <c r="K20" s="19" t="s">
        <v>19</v>
      </c>
      <c r="L20" s="19" t="s">
        <v>27</v>
      </c>
      <c r="M20" s="19" t="s">
        <v>28</v>
      </c>
      <c r="N20" s="19" t="s">
        <v>29</v>
      </c>
      <c r="O20" s="19" t="s">
        <v>24</v>
      </c>
      <c r="P20" s="20" t="s">
        <v>23</v>
      </c>
      <c r="Q20" s="10" t="s">
        <v>15</v>
      </c>
    </row>
    <row r="21" spans="1:31" s="3" customFormat="1" ht="12.95" customHeight="1">
      <c r="A21" s="3" t="s">
        <v>12</v>
      </c>
      <c r="C21" s="21">
        <v>25653.366000000002</v>
      </c>
      <c r="D21" s="21" t="s">
        <v>14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>+C$11+C$12*$F21</f>
        <v>-3.3080549323921259E-2</v>
      </c>
      <c r="Q21" s="22">
        <f>+C21-15018.5</f>
        <v>10634.866000000002</v>
      </c>
    </row>
    <row r="22" spans="1:31" s="3" customFormat="1" ht="12.95" customHeight="1">
      <c r="A22" s="3" t="s">
        <v>31</v>
      </c>
      <c r="C22" s="23">
        <v>40542.642</v>
      </c>
      <c r="D22" s="21"/>
      <c r="E22" s="3">
        <f>+(C22-C$7)/C$8</f>
        <v>13025.006779631361</v>
      </c>
      <c r="F22" s="3">
        <f>ROUND(2*E22,0)/2</f>
        <v>13025</v>
      </c>
      <c r="G22" s="3">
        <f>+C22-(C$7+F22*C$8)</f>
        <v>7.7499999970314093E-3</v>
      </c>
      <c r="I22" s="3">
        <f>+G22</f>
        <v>7.7499999970314093E-3</v>
      </c>
      <c r="O22" s="3">
        <f>+C$11+C$12*$F22</f>
        <v>1.7259443527480135E-2</v>
      </c>
      <c r="Q22" s="22">
        <f>+C22-15018.5</f>
        <v>25524.142</v>
      </c>
      <c r="AB22" s="3">
        <v>12</v>
      </c>
      <c r="AC22" s="3" t="s">
        <v>30</v>
      </c>
      <c r="AE22" s="3" t="s">
        <v>32</v>
      </c>
    </row>
    <row r="23" spans="1:31" s="3" customFormat="1" ht="12.95" customHeight="1">
      <c r="A23" s="3" t="s">
        <v>33</v>
      </c>
      <c r="C23" s="23">
        <v>40972.451999999997</v>
      </c>
      <c r="D23" s="21"/>
      <c r="E23" s="3">
        <f>+(C23-C$7)/C$8</f>
        <v>13401.000761068291</v>
      </c>
      <c r="F23" s="3">
        <f>ROUND(2*E23,0)/2</f>
        <v>13401</v>
      </c>
      <c r="G23" s="3">
        <f>+C23-(C$7+F23*C$8)</f>
        <v>8.6999999621184543E-4</v>
      </c>
      <c r="I23" s="3">
        <f>+G23</f>
        <v>8.6999999621184543E-4</v>
      </c>
      <c r="O23" s="3">
        <f>+C$11+C$12*$F23</f>
        <v>1.8712636411328649E-2</v>
      </c>
      <c r="Q23" s="22">
        <f>+C23-15018.5</f>
        <v>25953.951999999997</v>
      </c>
      <c r="AB23" s="3">
        <v>7</v>
      </c>
      <c r="AC23" s="3" t="s">
        <v>30</v>
      </c>
      <c r="AE23" s="3" t="s">
        <v>32</v>
      </c>
    </row>
    <row r="24" spans="1:31" s="3" customFormat="1" ht="12.95" customHeight="1">
      <c r="A24" s="3" t="s">
        <v>34</v>
      </c>
      <c r="C24" s="23">
        <v>41308.519</v>
      </c>
      <c r="D24" s="21"/>
      <c r="E24" s="3">
        <f>+(C24-C$7)/C$8</f>
        <v>13694.989196329376</v>
      </c>
      <c r="F24" s="3">
        <f>ROUND(2*E24,0)/2</f>
        <v>13695</v>
      </c>
      <c r="G24" s="3">
        <f>+C24-(C$7+F24*C$8)</f>
        <v>-1.2350000004516914E-2</v>
      </c>
      <c r="I24" s="3">
        <f>+G24</f>
        <v>-1.2350000004516914E-2</v>
      </c>
      <c r="O24" s="3">
        <f>+C$11+C$12*$F24</f>
        <v>1.9848909570508076E-2</v>
      </c>
      <c r="Q24" s="22">
        <f>+C24-15018.5</f>
        <v>26290.019</v>
      </c>
      <c r="AB24" s="3">
        <v>10</v>
      </c>
      <c r="AC24" s="3" t="s">
        <v>30</v>
      </c>
      <c r="AE24" s="3" t="s">
        <v>32</v>
      </c>
    </row>
    <row r="25" spans="1:31" s="3" customFormat="1" ht="12.95" customHeight="1">
      <c r="A25" s="24" t="s">
        <v>45</v>
      </c>
      <c r="B25" s="25" t="s">
        <v>46</v>
      </c>
      <c r="C25" s="26">
        <v>60371.478000000119</v>
      </c>
      <c r="D25" s="24">
        <v>0.01</v>
      </c>
      <c r="E25" s="3">
        <f>+(C25-C$7)/C$8</f>
        <v>30371.096900615081</v>
      </c>
      <c r="F25" s="3">
        <f>ROUND(2*E25,0)/2</f>
        <v>30371</v>
      </c>
      <c r="G25" s="3">
        <f>+C25-(C$7+F25*C$8)</f>
        <v>0.11077000011573546</v>
      </c>
      <c r="I25" s="3">
        <f>+G25</f>
        <v>0.11077000011573546</v>
      </c>
      <c r="O25" s="3">
        <f>+C$11+C$12*$F25</f>
        <v>8.4299559919066208E-2</v>
      </c>
      <c r="Q25" s="22">
        <f>+C25-15018.5</f>
        <v>45352.978000000119</v>
      </c>
    </row>
    <row r="26" spans="1:31" s="3" customFormat="1" ht="12.95" customHeight="1">
      <c r="C26" s="21"/>
      <c r="D26" s="21"/>
      <c r="Q26" s="22"/>
    </row>
    <row r="27" spans="1:31" s="3" customFormat="1" ht="12.95" customHeight="1">
      <c r="C27" s="21"/>
      <c r="D27" s="21"/>
      <c r="Q27" s="22"/>
    </row>
    <row r="28" spans="1:31" s="3" customFormat="1" ht="12.95" customHeight="1">
      <c r="C28" s="21"/>
      <c r="D28" s="21"/>
    </row>
    <row r="29" spans="1:31" s="3" customFormat="1" ht="12.95" customHeight="1">
      <c r="C29" s="21"/>
      <c r="D29" s="21"/>
    </row>
    <row r="30" spans="1:31" s="3" customFormat="1" ht="12.95" customHeight="1">
      <c r="C30" s="21"/>
      <c r="D30" s="21"/>
    </row>
    <row r="31" spans="1:31" s="3" customFormat="1" ht="12.95" customHeight="1">
      <c r="C31" s="21"/>
      <c r="D31" s="21"/>
    </row>
    <row r="32" spans="1:31" s="3" customFormat="1" ht="12.95" customHeight="1">
      <c r="C32" s="21"/>
      <c r="D32" s="21"/>
    </row>
    <row r="33" spans="3:4" s="3" customFormat="1" ht="12.95" customHeight="1">
      <c r="C33" s="21"/>
      <c r="D33" s="21"/>
    </row>
    <row r="34" spans="3:4" s="3" customFormat="1" ht="12.95" customHeight="1">
      <c r="C34" s="21"/>
      <c r="D34" s="21"/>
    </row>
    <row r="35" spans="3:4" s="3" customFormat="1" ht="12.95" customHeight="1">
      <c r="C35" s="21"/>
      <c r="D35" s="21"/>
    </row>
    <row r="36" spans="3:4" s="3" customFormat="1" ht="12.95" customHeight="1">
      <c r="C36" s="21"/>
      <c r="D36" s="21"/>
    </row>
    <row r="37" spans="3:4" s="3" customFormat="1" ht="12.95" customHeight="1">
      <c r="C37" s="21"/>
      <c r="D37" s="21"/>
    </row>
    <row r="38" spans="3:4" s="3" customFormat="1" ht="12.95" customHeight="1">
      <c r="C38" s="21"/>
      <c r="D38" s="21"/>
    </row>
    <row r="39" spans="3:4" s="3" customFormat="1" ht="12.95" customHeight="1">
      <c r="C39" s="21"/>
      <c r="D39" s="21"/>
    </row>
    <row r="40" spans="3:4" s="3" customFormat="1" ht="12.95" customHeight="1">
      <c r="C40" s="21"/>
      <c r="D40" s="21"/>
    </row>
    <row r="41" spans="3:4">
      <c r="C41" s="2"/>
      <c r="D41" s="2"/>
    </row>
    <row r="42" spans="3:4">
      <c r="C42" s="2"/>
      <c r="D42" s="2"/>
    </row>
    <row r="43" spans="3:4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2025-01-08T00:32:57Z</dcterms:modified>
</cp:coreProperties>
</file>