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EDCCD78-AA5B-4E74-B651-68C472CCD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F14" i="1"/>
  <c r="G11" i="1"/>
  <c r="F11" i="1"/>
  <c r="C7" i="1"/>
  <c r="C8" i="1"/>
  <c r="C17" i="1"/>
  <c r="Q21" i="1"/>
  <c r="E21" i="1"/>
  <c r="F21" i="1" s="1"/>
  <c r="G21" i="1" s="1"/>
  <c r="H21" i="1" s="1"/>
  <c r="C11" i="1"/>
  <c r="F15" i="1" l="1"/>
  <c r="C12" i="1"/>
  <c r="O22" i="1" l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<sst xmlns="http://schemas.openxmlformats.org/spreadsheetml/2006/main" count="59" uniqueCount="52">
  <si>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</si>
  <si>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</si>
  <si>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</si>
  <si>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</si>
  <si>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</si>
  <si>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</si>
  <si>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</si>
  <si>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</si>
  <si>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</si>
  <si>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</si>
  <si>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</si>
  <si>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</si>
  <si>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</si>
  <si>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</si>
  <si>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</si>
  <si>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</si>
  <si>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</si>
  <si>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</si>
  <si>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</si>
  <si>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</si>
  <si>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</si>
  <si>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</si>
  <si>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</si>
  <si>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</si>
  <si>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</si>
  <si>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</si>
  <si>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</si>
  <si>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</si>
  <si>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</si>
  <si>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</si>
  <si>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</si>
  <si>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</si>
  <si>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</si>
  <si>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</si>
  <si>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</si>
  <si>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V0582 Pup  / GSC 5405-0775</t>
  </si>
  <si>
    <t>Pup_V0582.xls</t>
  </si>
  <si>
    <t>EA</t>
  </si>
  <si>
    <t>IBVS 5480 Eph.</t>
  </si>
  <si>
    <t>IBVS 5480</t>
  </si>
  <si>
    <t>Pup</t>
  </si>
  <si>
    <t>JBAV 96</t>
  </si>
  <si>
    <t>I</t>
  </si>
  <si>
    <t xml:space="preserve">Mag </t>
  </si>
  <si>
    <t>Add cycle</t>
  </si>
  <si>
    <t>Old Cycle</t>
  </si>
  <si>
    <t>Next ToM-P</t>
  </si>
  <si>
    <t>Next ToM-S</t>
  </si>
  <si>
    <t>7.86-8.13</t>
  </si>
  <si>
    <t>VSX</t>
  </si>
  <si>
    <t>CCD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</si>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</sst>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5" fontId="14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22" fontId="16" fillId="0" borderId="10" xfId="0" applyNumberFormat="1" applyFont="1" applyBorder="1" applyAlignment="1">
      <alignment horizontal="right" vertical="center"/>
    </xf>
    <xf numFmtId="22" fontId="16" fillId="0" borderId="12" xfId="0" applyNumberFormat="1" applyFont="1" applyBorder="1" applyAlignment="1">
      <alignment horizontal="right" vertical="center"/>
    </xf>
    <xf numFmtId="0" fontId="13" fillId="3" borderId="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V0582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3E-483B-921D-3478FF1A91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0.3585000001185108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3E-483B-921D-3478FF1A91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3E-483B-921D-3478FF1A91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3E-483B-921D-3478FF1A91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3E-483B-921D-3478FF1A91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3E-483B-921D-3478FF1A91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3E-483B-921D-3478FF1A91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0.3585000001185108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3E-483B-921D-3478FF1A91B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86-42E0-9596-14E259D8C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045912"/>
        <c:axId val="1"/>
      </c:scatterChart>
      <c:valAx>
        <c:axId val="821045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045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75187969924812026"/>
          <c:h val="5.65876112332805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C8C3DA-4AC0-BCF3-A309-E2C6091B7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4"/>
      <c r="F1" s="4" t="s">
        <v>36</v>
      </c>
      <c r="G1" s="5" t="s">
        <v>37</v>
      </c>
      <c r="H1" s="4" t="s">
        <v>38</v>
      </c>
      <c r="I1" s="6">
        <v>52763.433000000005</v>
      </c>
      <c r="J1" s="6">
        <v>2.6713</v>
      </c>
      <c r="K1" s="4" t="s">
        <v>39</v>
      </c>
      <c r="L1" s="4" t="s">
        <v>40</v>
      </c>
    </row>
    <row r="2" spans="1:12" s="4" customFormat="1" ht="12.95" customHeight="1" x14ac:dyDescent="0.2">
      <c r="A2" s="4" t="s">
        <v>23</v>
      </c>
      <c r="B2" s="4" t="s">
        <v>37</v>
      </c>
      <c r="D2" s="5" t="s">
        <v>40</v>
      </c>
      <c r="E2" s="4" t="s">
        <v>36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7" t="s">
        <v>38</v>
      </c>
      <c r="C4" s="8">
        <v>52763.433000000005</v>
      </c>
      <c r="D4" s="9">
        <v>2.6713</v>
      </c>
    </row>
    <row r="5" spans="1:12" s="4" customFormat="1" ht="12.95" customHeight="1" x14ac:dyDescent="0.2"/>
    <row r="6" spans="1:12" s="4" customFormat="1" ht="12.95" customHeight="1" x14ac:dyDescent="0.2">
      <c r="A6" s="10" t="s">
        <v>0</v>
      </c>
    </row>
    <row r="7" spans="1:12" s="4" customFormat="1" ht="12.95" customHeight="1" x14ac:dyDescent="0.2">
      <c r="A7" s="4" t="s">
        <v>1</v>
      </c>
      <c r="C7" s="4">
        <f>+C4</f>
        <v>52763.433000000005</v>
      </c>
      <c r="D7" s="39" t="s">
        <v>49</v>
      </c>
    </row>
    <row r="8" spans="1:12" s="4" customFormat="1" ht="12.95" customHeight="1" x14ac:dyDescent="0.2">
      <c r="A8" s="4" t="s">
        <v>2</v>
      </c>
      <c r="C8" s="4">
        <f>+D4</f>
        <v>2.6713</v>
      </c>
      <c r="D8" s="39" t="s">
        <v>49</v>
      </c>
    </row>
    <row r="9" spans="1:12" s="4" customFormat="1" ht="12.95" customHeight="1" x14ac:dyDescent="0.2">
      <c r="A9" s="7" t="s">
        <v>30</v>
      </c>
      <c r="C9" s="11">
        <v>-9.5</v>
      </c>
      <c r="D9" s="4" t="s">
        <v>31</v>
      </c>
    </row>
    <row r="10" spans="1:12" s="4" customFormat="1" ht="12.95" customHeight="1" thickBot="1" x14ac:dyDescent="0.25">
      <c r="C10" s="12" t="s">
        <v>19</v>
      </c>
      <c r="D10" s="12" t="s">
        <v>20</v>
      </c>
    </row>
    <row r="11" spans="1:12" s="4" customFormat="1" ht="12.95" customHeight="1" x14ac:dyDescent="0.2">
      <c r="A11" s="4" t="s">
        <v>14</v>
      </c>
      <c r="C11" s="13">
        <f ca="1">INTERCEPT(INDIRECT($G$11):G992,INDIRECT($F$11):F992)</f>
        <v>0</v>
      </c>
      <c r="D11" s="14"/>
      <c r="F11" s="15" t="str">
        <f>"F"&amp;E19</f>
        <v>F21</v>
      </c>
      <c r="G11" s="13" t="str">
        <f>"G"&amp;E19</f>
        <v>G21</v>
      </c>
    </row>
    <row r="12" spans="1:12" s="4" customFormat="1" ht="12.95" customHeight="1" x14ac:dyDescent="0.2">
      <c r="A12" s="4" t="s">
        <v>15</v>
      </c>
      <c r="C12" s="13">
        <f ca="1">SLOPE(INDIRECT($G$11):G992,INDIRECT($F$11):F992)</f>
        <v>1.2556917692417192E-4</v>
      </c>
      <c r="D12" s="14"/>
      <c r="E12" s="33" t="s">
        <v>43</v>
      </c>
      <c r="F12" s="38" t="s">
        <v>48</v>
      </c>
    </row>
    <row r="13" spans="1:12" s="4" customFormat="1" ht="12.95" customHeight="1" x14ac:dyDescent="0.2">
      <c r="A13" s="4" t="s">
        <v>18</v>
      </c>
      <c r="C13" s="14" t="s">
        <v>12</v>
      </c>
      <c r="D13" s="14"/>
      <c r="E13" s="30" t="s">
        <v>44</v>
      </c>
      <c r="F13" s="34">
        <v>1</v>
      </c>
    </row>
    <row r="14" spans="1:12" s="4" customFormat="1" ht="12.95" customHeight="1" x14ac:dyDescent="0.2">
      <c r="E14" s="30" t="s">
        <v>32</v>
      </c>
      <c r="F14" s="35">
        <f ca="1">NOW()+15018.5+$C$9/24</f>
        <v>60683.574565856477</v>
      </c>
    </row>
    <row r="15" spans="1:12" s="4" customFormat="1" ht="12.95" customHeight="1" x14ac:dyDescent="0.2">
      <c r="A15" s="16" t="s">
        <v>16</v>
      </c>
      <c r="C15" s="17">
        <f ca="1">(C7+C11)+(C8+C12)*INT(MAX(F21:F3533))</f>
        <v>60390.353000000119</v>
      </c>
      <c r="D15" s="18"/>
      <c r="E15" s="30" t="s">
        <v>45</v>
      </c>
      <c r="F15" s="35">
        <f ca="1">ROUND(2*($F$14-$C$7)/$C$8,0)/2+$F$13</f>
        <v>2966</v>
      </c>
    </row>
    <row r="16" spans="1:12" s="4" customFormat="1" ht="12.95" customHeight="1" x14ac:dyDescent="0.2">
      <c r="A16" s="10" t="s">
        <v>3</v>
      </c>
      <c r="C16" s="19">
        <f ca="1">+C8+C12</f>
        <v>2.671425569176924</v>
      </c>
      <c r="D16" s="18"/>
      <c r="E16" s="30" t="s">
        <v>33</v>
      </c>
      <c r="F16" s="35">
        <f ca="1">ROUND(2*($F$14-$C$15)/$C$16,0)/2+$F$13</f>
        <v>111</v>
      </c>
    </row>
    <row r="17" spans="1:21" s="4" customFormat="1" ht="12.95" customHeight="1" thickBot="1" x14ac:dyDescent="0.25">
      <c r="A17" s="18" t="s">
        <v>29</v>
      </c>
      <c r="C17" s="4">
        <f>COUNT(C21:C2191)</f>
        <v>2</v>
      </c>
      <c r="D17" s="18"/>
      <c r="E17" s="31" t="s">
        <v>46</v>
      </c>
      <c r="F17" s="36">
        <f ca="1">+$C$15+$C$16*$F$16-15018.5-$C$9/24</f>
        <v>45668.777071512093</v>
      </c>
    </row>
    <row r="18" spans="1:21" s="4" customFormat="1" ht="12.95" customHeight="1" thickTop="1" thickBot="1" x14ac:dyDescent="0.25">
      <c r="A18" s="10" t="s">
        <v>4</v>
      </c>
      <c r="C18" s="20">
        <f ca="1">+C15</f>
        <v>60390.353000000119</v>
      </c>
      <c r="D18" s="29">
        <f ca="1">+C16</f>
        <v>2.671425569176924</v>
      </c>
      <c r="E18" s="32" t="s">
        <v>47</v>
      </c>
      <c r="F18" s="37">
        <f ca="1">+($C$15+$C$16*$F$16)-($C$16/2)-15018.5-$C$9/24</f>
        <v>45667.441358727505</v>
      </c>
    </row>
    <row r="19" spans="1:21" s="4" customFormat="1" ht="12.95" customHeight="1" thickTop="1" x14ac:dyDescent="0.2">
      <c r="A19" s="21" t="s">
        <v>34</v>
      </c>
      <c r="E19" s="22">
        <v>21</v>
      </c>
    </row>
    <row r="20" spans="1:21" s="4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3" t="s">
        <v>28</v>
      </c>
      <c r="I20" s="23" t="s">
        <v>50</v>
      </c>
      <c r="J20" s="23" t="s">
        <v>17</v>
      </c>
      <c r="K20" s="23" t="s">
        <v>24</v>
      </c>
      <c r="L20" s="23" t="s">
        <v>25</v>
      </c>
      <c r="M20" s="23" t="s">
        <v>26</v>
      </c>
      <c r="N20" s="23" t="s">
        <v>27</v>
      </c>
      <c r="O20" s="23" t="s">
        <v>22</v>
      </c>
      <c r="P20" s="24" t="s">
        <v>21</v>
      </c>
      <c r="Q20" s="12" t="s">
        <v>13</v>
      </c>
      <c r="U20" s="40" t="s">
        <v>51</v>
      </c>
    </row>
    <row r="21" spans="1:21" s="4" customFormat="1" ht="12.95" customHeight="1" x14ac:dyDescent="0.2">
      <c r="A21" s="4" t="s">
        <v>39</v>
      </c>
      <c r="C21" s="5">
        <v>52763.433000000005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25">
        <f>+C21-15018.5</f>
        <v>37744.933000000005</v>
      </c>
    </row>
    <row r="22" spans="1:21" s="4" customFormat="1" ht="12.95" customHeight="1" x14ac:dyDescent="0.2">
      <c r="A22" s="26" t="s">
        <v>41</v>
      </c>
      <c r="B22" s="27" t="s">
        <v>42</v>
      </c>
      <c r="C22" s="28">
        <v>60390.353000000119</v>
      </c>
      <c r="D22" s="26">
        <v>0.02</v>
      </c>
      <c r="E22" s="4">
        <f>+(C22-C$7)/C$8</f>
        <v>2855.134204320037</v>
      </c>
      <c r="F22" s="4">
        <f>ROUND(2*E22,0)/2</f>
        <v>2855</v>
      </c>
      <c r="G22" s="4">
        <f>+C22-(C$7+F22*C$8)</f>
        <v>0.3585000001185108</v>
      </c>
      <c r="I22" s="4">
        <f>+G22</f>
        <v>0.3585000001185108</v>
      </c>
      <c r="O22" s="4">
        <f ca="1">+C$11+C$12*$F22</f>
        <v>0.3585000001185108</v>
      </c>
      <c r="Q22" s="25">
        <f>+C22-15018.5</f>
        <v>45371.853000000119</v>
      </c>
    </row>
    <row r="23" spans="1:21" s="4" customFormat="1" ht="12.95" customHeight="1" x14ac:dyDescent="0.2">
      <c r="C23" s="5"/>
      <c r="D23" s="5"/>
      <c r="Q23" s="25"/>
    </row>
    <row r="24" spans="1:21" s="4" customFormat="1" ht="12.95" customHeight="1" x14ac:dyDescent="0.2">
      <c r="Q24" s="25"/>
    </row>
    <row r="25" spans="1:21" s="4" customFormat="1" ht="12.95" customHeight="1" x14ac:dyDescent="0.2">
      <c r="C25" s="5"/>
      <c r="D25" s="5"/>
      <c r="Q25" s="25"/>
    </row>
    <row r="26" spans="1:21" s="4" customFormat="1" ht="12.95" customHeight="1" x14ac:dyDescent="0.2">
      <c r="C26" s="5"/>
      <c r="D26" s="5"/>
      <c r="Q26" s="25"/>
    </row>
    <row r="27" spans="1:21" s="4" customFormat="1" ht="12.95" customHeight="1" x14ac:dyDescent="0.2">
      <c r="C27" s="5"/>
      <c r="D27" s="5"/>
      <c r="Q27" s="25"/>
    </row>
    <row r="28" spans="1:21" s="4" customFormat="1" ht="12.95" customHeight="1" x14ac:dyDescent="0.2">
      <c r="C28" s="5"/>
      <c r="D28" s="5"/>
      <c r="Q28" s="25"/>
    </row>
    <row r="29" spans="1:21" s="4" customFormat="1" ht="12.95" customHeight="1" x14ac:dyDescent="0.2">
      <c r="C29" s="5"/>
      <c r="D29" s="5"/>
      <c r="Q29" s="25"/>
    </row>
    <row r="30" spans="1:21" s="4" customFormat="1" ht="12.95" customHeight="1" x14ac:dyDescent="0.2">
      <c r="C30" s="5"/>
      <c r="D30" s="5"/>
      <c r="Q30" s="25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2025-01-08T00:47:22Z</dcterms:modified>
</cp:coreProperties>
</file>