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EA41C3-83B3-47A4-8383-0A49D26BE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4" i="1"/>
  <c r="C21" i="1"/>
  <c r="A21" i="1"/>
  <c r="G11" i="1"/>
  <c r="F11" i="1"/>
  <c r="C7" i="1"/>
  <c r="C8" i="1"/>
  <c r="E21" i="1"/>
  <c r="F21" i="1"/>
  <c r="G21" i="1"/>
  <c r="Q21" i="1"/>
  <c r="C17" i="1"/>
  <c r="H21" i="1"/>
  <c r="C11" i="1"/>
  <c r="F15" i="1" l="1"/>
  <c r="C12" i="1"/>
  <c r="O22" i="1" l="1"/>
  <c r="O21" i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<sst xmlns="http://schemas.openxmlformats.org/spreadsheetml/2006/main" count="57" uniqueCount="51">
  <si>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</si>
  <si>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</si>
  <si>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</si>
  <si>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</si>
  <si>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</si>
  <si>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</si>
  <si>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</si>
  <si>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</si>
  <si>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</si>
  <si>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</si>
  <si>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</si>
  <si>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</si>
  <si>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</si>
  <si>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</si>
  <si>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</si>
  <si>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</si>
  <si>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</si>
  <si>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</si>
  <si>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</si>
  <si>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</si>
  <si>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</si>
  <si>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</si>
  <si>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</si>
  <si>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</si>
  <si>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</si>
  <si>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</si>
  <si>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</si>
  <si>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</si>
  <si>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</si>
  <si>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</si>
  <si>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</si>
  <si>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</si>
  <si>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</si>
  <si>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</si>
  <si>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</si>
  <si>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GSC 5992 2140_Pup.xls</t>
  </si>
  <si>
    <t>EA/KE</t>
  </si>
  <si>
    <t>IBVS 5495 Eph.</t>
  </si>
  <si>
    <t>IBVS 5495</t>
  </si>
  <si>
    <t>Pup</t>
  </si>
  <si>
    <t>V0610 Pup / NSV 03702 / GSC 5992 2140</t>
  </si>
  <si>
    <t>CCD</t>
  </si>
  <si>
    <t>JBAV 96</t>
  </si>
  <si>
    <t>I</t>
  </si>
  <si>
    <t xml:space="preserve">Mag </t>
  </si>
  <si>
    <t>Add cycle</t>
  </si>
  <si>
    <t>Old Cycle</t>
  </si>
  <si>
    <t>Next ToM-P</t>
  </si>
  <si>
    <t>Next ToM-S</t>
  </si>
  <si>
    <t>10.35-11.04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</si>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</sst>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22" fontId="18" fillId="0" borderId="12" xfId="0" applyNumberFormat="1" applyFont="1" applyBorder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V0610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9-4D14-9428-EAF98E4E0B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2.6044999911391642E-2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99-4D14-9428-EAF98E4E0B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99-4D14-9428-EAF98E4E0B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99-4D14-9428-EAF98E4E0B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99-4D14-9428-EAF98E4E0B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99-4D14-9428-EAF98E4E0B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99-4D14-9428-EAF98E4E0B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2.6044999911391642E-2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99-4D14-9428-EAF98E4E0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4384"/>
        <c:axId val="1"/>
      </c:scatterChart>
      <c:valAx>
        <c:axId val="92871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180975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30DE52-5C30-70A2-060F-8F38A7E32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28" t="s">
        <v>40</v>
      </c>
      <c r="E1" s="27"/>
      <c r="F1" s="27" t="s">
        <v>35</v>
      </c>
      <c r="G1" s="4" t="s">
        <v>36</v>
      </c>
      <c r="H1" s="8" t="s">
        <v>37</v>
      </c>
      <c r="I1" s="5">
        <v>52706.616999999998</v>
      </c>
      <c r="J1" s="5">
        <v>1.5634049999999999</v>
      </c>
      <c r="K1" s="4" t="s">
        <v>38</v>
      </c>
      <c r="L1" s="3" t="s">
        <v>39</v>
      </c>
    </row>
    <row r="2" spans="1:12" s="6" customFormat="1" ht="12.95" customHeight="1" x14ac:dyDescent="0.2">
      <c r="A2" s="6" t="s">
        <v>23</v>
      </c>
      <c r="B2" s="6" t="s">
        <v>36</v>
      </c>
      <c r="C2" s="7" t="s">
        <v>39</v>
      </c>
      <c r="D2" s="6" t="s">
        <v>35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37</v>
      </c>
      <c r="C4" s="9">
        <v>52706.616999999998</v>
      </c>
      <c r="D4" s="10">
        <v>1.5634049999999999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52706.616999999998</v>
      </c>
      <c r="D7" s="3" t="s">
        <v>50</v>
      </c>
    </row>
    <row r="8" spans="1:12" s="6" customFormat="1" ht="12.95" customHeight="1" x14ac:dyDescent="0.2">
      <c r="A8" s="6" t="s">
        <v>2</v>
      </c>
      <c r="C8" s="6">
        <f>+D4</f>
        <v>1.5634049999999999</v>
      </c>
      <c r="D8" s="3" t="s">
        <v>50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>
        <f ca="1">INTERCEPT(INDIRECT($G$11):G992,INDIRECT($F$11):F992)</f>
        <v>0</v>
      </c>
      <c r="D11" s="15"/>
      <c r="F11" s="16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>
        <f ca="1">SLOPE(INDIRECT($G$11):G992,INDIRECT($F$11):F992)</f>
        <v>5.3034005113809088E-6</v>
      </c>
      <c r="D12" s="15"/>
      <c r="E12" s="36" t="s">
        <v>44</v>
      </c>
      <c r="F12" s="41" t="s">
        <v>49</v>
      </c>
    </row>
    <row r="13" spans="1:12" s="6" customFormat="1" ht="12.95" customHeight="1" x14ac:dyDescent="0.2">
      <c r="A13" s="6" t="s">
        <v>18</v>
      </c>
      <c r="C13" s="15" t="s">
        <v>12</v>
      </c>
      <c r="D13" s="15"/>
      <c r="E13" s="33" t="s">
        <v>45</v>
      </c>
      <c r="F13" s="37">
        <v>1</v>
      </c>
    </row>
    <row r="14" spans="1:12" s="6" customFormat="1" ht="12.95" customHeight="1" x14ac:dyDescent="0.2">
      <c r="E14" s="33" t="s">
        <v>32</v>
      </c>
      <c r="F14" s="38">
        <f ca="1">NOW()+15018.5+$C$9/24</f>
        <v>60683.57693993055</v>
      </c>
    </row>
    <row r="15" spans="1:12" s="6" customFormat="1" ht="12.95" customHeight="1" x14ac:dyDescent="0.2">
      <c r="A15" s="17" t="s">
        <v>16</v>
      </c>
      <c r="C15" s="18">
        <f ca="1">(C7+C11)+(C8+C12)*INT(MAX(F21:F3533))</f>
        <v>60384.524999999907</v>
      </c>
      <c r="D15" s="19"/>
      <c r="E15" s="33" t="s">
        <v>46</v>
      </c>
      <c r="F15" s="38">
        <f ca="1">ROUND(2*($F$14-$C$7)/$C$8,0)/2+$F$13</f>
        <v>5103.5</v>
      </c>
    </row>
    <row r="16" spans="1:12" s="6" customFormat="1" ht="12.95" customHeight="1" x14ac:dyDescent="0.2">
      <c r="A16" s="11" t="s">
        <v>3</v>
      </c>
      <c r="C16" s="20">
        <f ca="1">+C8+C12</f>
        <v>1.5634103034005113</v>
      </c>
      <c r="D16" s="19"/>
      <c r="E16" s="33" t="s">
        <v>33</v>
      </c>
      <c r="F16" s="38">
        <f ca="1">ROUND(2*($F$14-$C$15)/$C$16,0)/2+$F$13</f>
        <v>192.5</v>
      </c>
    </row>
    <row r="17" spans="1:17" s="6" customFormat="1" ht="12.95" customHeight="1" thickBot="1" x14ac:dyDescent="0.25">
      <c r="A17" s="19" t="s">
        <v>29</v>
      </c>
      <c r="C17" s="6">
        <f>COUNT(C21:C2191)</f>
        <v>2</v>
      </c>
      <c r="D17" s="19"/>
      <c r="E17" s="34" t="s">
        <v>47</v>
      </c>
      <c r="F17" s="39">
        <f ca="1">+$C$15+$C$16*$F$16-15018.5-$C$9/24</f>
        <v>45667.377316737839</v>
      </c>
    </row>
    <row r="18" spans="1:17" s="6" customFormat="1" ht="12.95" customHeight="1" thickTop="1" thickBot="1" x14ac:dyDescent="0.25">
      <c r="A18" s="11" t="s">
        <v>4</v>
      </c>
      <c r="C18" s="21">
        <f ca="1">+C15</f>
        <v>60384.524999999907</v>
      </c>
      <c r="D18" s="32">
        <f ca="1">+C16</f>
        <v>1.5634103034005113</v>
      </c>
      <c r="E18" s="35" t="s">
        <v>48</v>
      </c>
      <c r="F18" s="40">
        <f ca="1">+($C$15+$C$16*$F$16)-($C$16/2)-15018.5-$C$9/24</f>
        <v>45666.595611586141</v>
      </c>
    </row>
    <row r="19" spans="1:17" s="6" customFormat="1" ht="12.95" customHeight="1" thickTop="1" x14ac:dyDescent="0.2">
      <c r="A19" s="22" t="s">
        <v>34</v>
      </c>
      <c r="E19" s="23">
        <v>21</v>
      </c>
    </row>
    <row r="20" spans="1:17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4" t="s">
        <v>28</v>
      </c>
      <c r="I20" s="24" t="s">
        <v>41</v>
      </c>
      <c r="J20" s="24" t="s">
        <v>17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3" t="s">
        <v>13</v>
      </c>
    </row>
    <row r="21" spans="1:17" s="6" customFormat="1" ht="12.95" customHeight="1" x14ac:dyDescent="0.2">
      <c r="A21" s="6" t="str">
        <f>$K$1</f>
        <v>IBVS 5495</v>
      </c>
      <c r="C21" s="7">
        <f>+$C$4</f>
        <v>52706.616999999998</v>
      </c>
      <c r="D21" s="7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26">
        <f>+C21-15018.5</f>
        <v>37688.116999999998</v>
      </c>
    </row>
    <row r="22" spans="1:17" s="6" customFormat="1" ht="12.95" customHeight="1" x14ac:dyDescent="0.2">
      <c r="A22" s="29" t="s">
        <v>42</v>
      </c>
      <c r="B22" s="30" t="s">
        <v>43</v>
      </c>
      <c r="C22" s="31">
        <v>60384.524999999907</v>
      </c>
      <c r="D22" s="29">
        <v>5.0000000000000001E-3</v>
      </c>
      <c r="E22" s="6">
        <f>+(C22-C$7)/C$8</f>
        <v>4911.0166591509615</v>
      </c>
      <c r="F22" s="6">
        <f>ROUND(2*E22,0)/2</f>
        <v>4911</v>
      </c>
      <c r="G22" s="6">
        <f>+C22-(C$7+F22*C$8)</f>
        <v>2.6044999911391642E-2</v>
      </c>
      <c r="I22" s="6">
        <f>+G22</f>
        <v>2.6044999911391642E-2</v>
      </c>
      <c r="O22" s="6">
        <f ca="1">+C$11+C$12*$F22</f>
        <v>2.6044999911391642E-2</v>
      </c>
      <c r="Q22" s="26">
        <f>+C22-15018.5</f>
        <v>45366.024999999907</v>
      </c>
    </row>
    <row r="23" spans="1:17" s="6" customFormat="1" ht="12.95" customHeight="1" x14ac:dyDescent="0.2">
      <c r="C23" s="7"/>
      <c r="D23" s="7"/>
      <c r="Q23" s="26"/>
    </row>
    <row r="24" spans="1:17" s="6" customFormat="1" ht="12.95" customHeight="1" x14ac:dyDescent="0.2">
      <c r="Q24" s="26"/>
    </row>
    <row r="25" spans="1:17" s="6" customFormat="1" ht="12.95" customHeight="1" x14ac:dyDescent="0.2">
      <c r="C25" s="7"/>
      <c r="D25" s="7"/>
      <c r="Q25" s="26"/>
    </row>
    <row r="26" spans="1:17" s="6" customFormat="1" ht="12.95" customHeight="1" x14ac:dyDescent="0.2">
      <c r="C26" s="7"/>
      <c r="D26" s="7"/>
      <c r="Q26" s="26"/>
    </row>
    <row r="27" spans="1:17" s="6" customFormat="1" ht="12.95" customHeight="1" x14ac:dyDescent="0.2">
      <c r="C27" s="7"/>
      <c r="D27" s="7"/>
      <c r="Q27" s="26"/>
    </row>
    <row r="28" spans="1:17" s="6" customFormat="1" ht="12.95" customHeight="1" x14ac:dyDescent="0.2">
      <c r="C28" s="7"/>
      <c r="D28" s="7"/>
      <c r="Q28" s="26"/>
    </row>
    <row r="29" spans="1:17" s="6" customFormat="1" ht="12.95" customHeight="1" x14ac:dyDescent="0.2">
      <c r="C29" s="7"/>
      <c r="D29" s="7"/>
      <c r="Q29" s="26"/>
    </row>
    <row r="30" spans="1:17" s="6" customFormat="1" ht="12.95" customHeight="1" x14ac:dyDescent="0.2">
      <c r="C30" s="7"/>
      <c r="D30" s="7"/>
      <c r="Q30" s="26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2025-01-08T00:50:47Z</dcterms:modified>
</cp:coreProperties>
</file>