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E3567DC-D745-4D92-988F-0E7E3A024D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E23" i="1"/>
  <c r="F23" i="1"/>
  <c r="G23" i="1" s="1"/>
  <c r="K23" i="1" s="1"/>
  <c r="Q23" i="1"/>
  <c r="E24" i="1"/>
  <c r="F24" i="1" s="1"/>
  <c r="G24" i="1" s="1"/>
  <c r="K24" i="1" s="1"/>
  <c r="Q24" i="1"/>
  <c r="F14" i="1"/>
  <c r="G11" i="1"/>
  <c r="F11" i="1"/>
  <c r="F15" i="1" l="1"/>
  <c r="E22" i="1"/>
  <c r="F22" i="1" s="1"/>
  <c r="G22" i="1" s="1"/>
  <c r="C17" i="1"/>
  <c r="Q22" i="1"/>
  <c r="C11" i="1"/>
  <c r="C12" i="1"/>
  <c r="O21" i="1" l="1"/>
  <c r="O24" i="1"/>
  <c r="O23" i="1"/>
  <c r="C16" i="1"/>
  <c r="D18" i="1" s="1"/>
  <c r="C15" i="1"/>
  <c r="O22" i="1"/>
  <c r="I2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<sst xmlns="http://schemas.openxmlformats.org/spreadsheetml/2006/main" count="62" uniqueCount="53">
  <si>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</si>
  <si>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</si>
  <si>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</si>
  <si>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</si>
  <si>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</si>
  <si>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</si>
  <si>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</si>
  <si>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</si>
  <si>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</si>
  <si>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</si>
  <si>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</si>
  <si>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</si>
  <si>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</si>
  <si>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</si>
  <si>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</si>
  <si>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</si>
  <si>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</si>
  <si>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</si>
  <si>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</si>
  <si>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</si>
  <si>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</si>
  <si>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</si>
  <si>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</si>
  <si>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</si>
  <si>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</si>
  <si>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</si>
  <si>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</si>
  <si>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</si>
  <si>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</si>
  <si>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</si>
  <si>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</si>
  <si>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</si>
  <si>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</si>
  <si>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</si>
  <si>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</si>
  <si>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</si>
  <si>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</si>
  <si>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PE</t>
  </si>
  <si>
    <t>CCD</t>
  </si>
  <si>
    <t>Local time</t>
  </si>
  <si>
    <t>I</t>
  </si>
  <si>
    <t>TX Pyx</t>
  </si>
  <si>
    <t>G7141-0233</t>
  </si>
  <si>
    <t>E/KE</t>
  </si>
  <si>
    <t>JAAVSO 51, 138</t>
  </si>
  <si>
    <t>JBAV 96</t>
  </si>
  <si>
    <t xml:space="preserve">Mag </t>
  </si>
  <si>
    <t>Next ToM-P</t>
  </si>
  <si>
    <t>Next ToM-S</t>
  </si>
  <si>
    <t>9.90-10.40</t>
  </si>
  <si>
    <t>GCVS 4</t>
  </si>
  <si>
    <t>VSX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</si>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</sst>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 applyAlignment="1">
      <alignment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Pyx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997</c:v>
                </c:pt>
                <c:pt idx="2">
                  <c:v>11858</c:v>
                </c:pt>
                <c:pt idx="3">
                  <c:v>15042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997</c:v>
                </c:pt>
                <c:pt idx="2">
                  <c:v>11858</c:v>
                </c:pt>
                <c:pt idx="3">
                  <c:v>15042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-7.7470000032917596E-3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997</c:v>
                </c:pt>
                <c:pt idx="2">
                  <c:v>11858</c:v>
                </c:pt>
                <c:pt idx="3">
                  <c:v>15042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997</c:v>
                </c:pt>
                <c:pt idx="2">
                  <c:v>11858</c:v>
                </c:pt>
                <c:pt idx="3">
                  <c:v>15042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-8.4358000000065658E-2</c:v>
                </c:pt>
                <c:pt idx="3">
                  <c:v>-0.11654199978511315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997</c:v>
                </c:pt>
                <c:pt idx="2">
                  <c:v>11858</c:v>
                </c:pt>
                <c:pt idx="3">
                  <c:v>15042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997</c:v>
                </c:pt>
                <c:pt idx="2">
                  <c:v>11858</c:v>
                </c:pt>
                <c:pt idx="3">
                  <c:v>15042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2.0999999999999999E-3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997</c:v>
                </c:pt>
                <c:pt idx="2">
                  <c:v>11858</c:v>
                </c:pt>
                <c:pt idx="3">
                  <c:v>15042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997</c:v>
                </c:pt>
                <c:pt idx="2">
                  <c:v>11858</c:v>
                </c:pt>
                <c:pt idx="3">
                  <c:v>15042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3.9079143030067848E-4</c:v>
                </c:pt>
                <c:pt idx="1">
                  <c:v>-7.1218276689983236E-3</c:v>
                </c:pt>
                <c:pt idx="2">
                  <c:v>-8.8961903935283637E-2</c:v>
                </c:pt>
                <c:pt idx="3">
                  <c:v>-0.11295405961448929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997</c:v>
                </c:pt>
                <c:pt idx="2">
                  <c:v>11858</c:v>
                </c:pt>
                <c:pt idx="3">
                  <c:v>15042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19050</xdr:rowOff>
    </xdr:from>
    <xdr:to>
      <xdr:col>17</xdr:col>
      <xdr:colOff>219075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4" customFormat="1" ht="20.25" x14ac:dyDescent="0.2">
      <c r="A1" s="37" t="s">
        <v>41</v>
      </c>
      <c r="F1" s="5" t="s">
        <v>41</v>
      </c>
      <c r="G1" s="3">
        <v>0</v>
      </c>
      <c r="H1" s="2"/>
      <c r="I1" s="10" t="s">
        <v>42</v>
      </c>
      <c r="J1" s="11" t="s">
        <v>41</v>
      </c>
      <c r="K1" s="12">
        <v>8.4230600000000013</v>
      </c>
      <c r="L1" s="13">
        <v>-32.203200000000002</v>
      </c>
      <c r="M1" s="4">
        <v>52500.707000000002</v>
      </c>
      <c r="N1" s="4">
        <v>0.56275209999999998</v>
      </c>
      <c r="O1" s="14" t="s">
        <v>43</v>
      </c>
    </row>
    <row r="2" spans="1:15" s="14" customFormat="1" ht="12.95" customHeight="1" x14ac:dyDescent="0.2">
      <c r="A2" s="14" t="s">
        <v>23</v>
      </c>
      <c r="B2" s="14" t="s">
        <v>43</v>
      </c>
      <c r="C2" s="15"/>
      <c r="D2" s="16"/>
    </row>
    <row r="3" spans="1:15" s="14" customFormat="1" ht="12.95" customHeight="1" x14ac:dyDescent="0.2"/>
    <row r="4" spans="1:15" s="14" customFormat="1" ht="12.95" customHeight="1" x14ac:dyDescent="0.2">
      <c r="A4" s="17" t="s">
        <v>0</v>
      </c>
      <c r="C4" s="16" t="s">
        <v>36</v>
      </c>
      <c r="D4" s="16" t="s">
        <v>36</v>
      </c>
    </row>
    <row r="5" spans="1:15" s="14" customFormat="1" ht="12.95" customHeight="1" x14ac:dyDescent="0.2">
      <c r="A5" s="18" t="s">
        <v>28</v>
      </c>
      <c r="C5" s="19">
        <v>-9.5</v>
      </c>
      <c r="D5" s="14" t="s">
        <v>29</v>
      </c>
    </row>
    <row r="6" spans="1:15" s="14" customFormat="1" ht="12.95" customHeight="1" x14ac:dyDescent="0.2">
      <c r="A6" s="17" t="s">
        <v>1</v>
      </c>
    </row>
    <row r="7" spans="1:15" s="14" customFormat="1" ht="12.95" customHeight="1" x14ac:dyDescent="0.2">
      <c r="A7" s="14" t="s">
        <v>2</v>
      </c>
      <c r="C7" s="38">
        <v>51939.652000000002</v>
      </c>
      <c r="D7" s="20" t="s">
        <v>51</v>
      </c>
    </row>
    <row r="8" spans="1:15" s="14" customFormat="1" ht="12.95" customHeight="1" x14ac:dyDescent="0.2">
      <c r="A8" s="14" t="s">
        <v>3</v>
      </c>
      <c r="C8" s="38">
        <v>0.562751</v>
      </c>
      <c r="D8" s="20" t="s">
        <v>51</v>
      </c>
    </row>
    <row r="9" spans="1:15" s="14" customFormat="1" ht="12.95" customHeight="1" x14ac:dyDescent="0.2">
      <c r="A9" s="21" t="s">
        <v>31</v>
      </c>
      <c r="B9" s="22">
        <v>21</v>
      </c>
      <c r="C9" s="23"/>
      <c r="D9" s="24"/>
    </row>
    <row r="10" spans="1:15" s="14" customFormat="1" ht="12.95" customHeight="1" thickBot="1" x14ac:dyDescent="0.25">
      <c r="C10" s="25" t="s">
        <v>19</v>
      </c>
      <c r="D10" s="25" t="s">
        <v>20</v>
      </c>
    </row>
    <row r="11" spans="1:15" s="14" customFormat="1" ht="12.95" customHeight="1" x14ac:dyDescent="0.2">
      <c r="A11" s="14" t="s">
        <v>15</v>
      </c>
      <c r="C11" s="24">
        <f ca="1">INTERCEPT(INDIRECT($G$11):G992,INDIRECT($F$11):F992)</f>
        <v>3.9079143030067848E-4</v>
      </c>
      <c r="D11" s="16"/>
      <c r="F11" s="14" t="str">
        <f>"F"&amp;B9</f>
        <v>F21</v>
      </c>
      <c r="G11" s="14" t="str">
        <f>"G"&amp;B9</f>
        <v>G21</v>
      </c>
    </row>
    <row r="12" spans="1:15" s="14" customFormat="1" ht="12.95" customHeight="1" x14ac:dyDescent="0.2">
      <c r="A12" s="14" t="s">
        <v>16</v>
      </c>
      <c r="C12" s="24">
        <f ca="1">SLOPE(INDIRECT($G$11):G992,INDIRECT($F$11):F992)</f>
        <v>-7.5352247736198615E-6</v>
      </c>
      <c r="D12" s="16"/>
      <c r="E12" s="47" t="s">
        <v>46</v>
      </c>
      <c r="F12" s="52" t="s">
        <v>49</v>
      </c>
    </row>
    <row r="13" spans="1:15" s="14" customFormat="1" ht="12.95" customHeight="1" x14ac:dyDescent="0.2">
      <c r="A13" s="14" t="s">
        <v>18</v>
      </c>
      <c r="C13" s="16" t="s">
        <v>13</v>
      </c>
      <c r="E13" s="45" t="s">
        <v>33</v>
      </c>
      <c r="F13" s="48">
        <v>1</v>
      </c>
    </row>
    <row r="14" spans="1:15" s="14" customFormat="1" ht="12.95" customHeight="1" x14ac:dyDescent="0.2">
      <c r="E14" s="45" t="s">
        <v>30</v>
      </c>
      <c r="F14" s="49">
        <f ca="1">NOW()+15018.5+$C$5/24</f>
        <v>60683.588806597218</v>
      </c>
    </row>
    <row r="15" spans="1:15" s="14" customFormat="1" ht="12.95" customHeight="1" x14ac:dyDescent="0.2">
      <c r="A15" s="27" t="s">
        <v>17</v>
      </c>
      <c r="C15" s="28">
        <f ca="1">(C7+C11)+(C8+C12)*INT(MAX(F21:F3533))</f>
        <v>60404.439587940389</v>
      </c>
      <c r="E15" s="45" t="s">
        <v>34</v>
      </c>
      <c r="F15" s="49">
        <f ca="1">ROUND(2*($F$14-$C$7)/$C$8,0)/2+$F$13</f>
        <v>15539</v>
      </c>
    </row>
    <row r="16" spans="1:15" s="14" customFormat="1" ht="12.95" customHeight="1" x14ac:dyDescent="0.2">
      <c r="A16" s="17" t="s">
        <v>4</v>
      </c>
      <c r="C16" s="29">
        <f ca="1">+C8+C12</f>
        <v>0.56274346477522641</v>
      </c>
      <c r="E16" s="45" t="s">
        <v>35</v>
      </c>
      <c r="F16" s="49">
        <f ca="1">ROUND(2*($F$14-$C$15)/$C$16,0)/2+$F$13</f>
        <v>497</v>
      </c>
    </row>
    <row r="17" spans="1:21" s="14" customFormat="1" ht="12.95" customHeight="1" thickBot="1" x14ac:dyDescent="0.25">
      <c r="A17" s="26" t="s">
        <v>27</v>
      </c>
      <c r="C17" s="14">
        <f>COUNT(C21:C2191)</f>
        <v>4</v>
      </c>
      <c r="E17" s="45" t="s">
        <v>47</v>
      </c>
      <c r="F17" s="51">
        <f ca="1">+$C$15+$C$16*$F$16-15018.5-$C$5/24</f>
        <v>45666.018923267009</v>
      </c>
    </row>
    <row r="18" spans="1:21" s="14" customFormat="1" ht="12.95" customHeight="1" thickTop="1" thickBot="1" x14ac:dyDescent="0.25">
      <c r="A18" s="17" t="s">
        <v>5</v>
      </c>
      <c r="C18" s="30">
        <f ca="1">+C15</f>
        <v>60404.439587940389</v>
      </c>
      <c r="D18" s="44">
        <f ca="1">+C16</f>
        <v>0.56274346477522641</v>
      </c>
      <c r="E18" s="46" t="s">
        <v>48</v>
      </c>
      <c r="F18" s="50">
        <f ca="1">+($C$15+$C$16*$F$16)-($C$16/2)-15018.5-$C$5/24</f>
        <v>45665.737551534621</v>
      </c>
    </row>
    <row r="19" spans="1:21" s="14" customFormat="1" ht="12.95" customHeight="1" thickTop="1" x14ac:dyDescent="0.2">
      <c r="F19" s="14" t="s">
        <v>39</v>
      </c>
    </row>
    <row r="20" spans="1:21" s="14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1" t="s">
        <v>51</v>
      </c>
      <c r="I20" s="31" t="s">
        <v>52</v>
      </c>
      <c r="J20" s="31" t="s">
        <v>37</v>
      </c>
      <c r="K20" s="31" t="s">
        <v>38</v>
      </c>
      <c r="L20" s="31" t="s">
        <v>24</v>
      </c>
      <c r="M20" s="31" t="s">
        <v>25</v>
      </c>
      <c r="N20" s="31" t="s">
        <v>26</v>
      </c>
      <c r="O20" s="31" t="s">
        <v>22</v>
      </c>
      <c r="P20" s="32" t="s">
        <v>21</v>
      </c>
      <c r="Q20" s="25" t="s">
        <v>14</v>
      </c>
      <c r="U20" s="33" t="s">
        <v>32</v>
      </c>
    </row>
    <row r="21" spans="1:21" s="34" customFormat="1" ht="12.95" customHeight="1" x14ac:dyDescent="0.2">
      <c r="A21" s="34" t="s">
        <v>51</v>
      </c>
      <c r="C21" s="35">
        <v>51939.652000000002</v>
      </c>
      <c r="D21" s="35"/>
      <c r="E21" s="34">
        <f>+(C21-C$7)/C$8</f>
        <v>0</v>
      </c>
      <c r="F21" s="34">
        <f>ROUND(2*E21,0)/2</f>
        <v>0</v>
      </c>
      <c r="G21" s="34">
        <f>+C21-(C$7+F21*C$8)</f>
        <v>0</v>
      </c>
      <c r="H21" s="34">
        <f>+G21</f>
        <v>0</v>
      </c>
      <c r="O21" s="34">
        <f ca="1">+C$11+C$12*$F21</f>
        <v>3.9079143030067848E-4</v>
      </c>
      <c r="Q21" s="36">
        <f>+C21-15018.5</f>
        <v>36921.152000000002</v>
      </c>
    </row>
    <row r="22" spans="1:21" s="34" customFormat="1" ht="12.95" customHeight="1" x14ac:dyDescent="0.2">
      <c r="A22" s="34" t="s">
        <v>50</v>
      </c>
      <c r="C22" s="35">
        <v>52500.707000000002</v>
      </c>
      <c r="D22" s="35" t="s">
        <v>13</v>
      </c>
      <c r="E22" s="34">
        <f>+(C22-C$7)/C$8</f>
        <v>996.98623369838572</v>
      </c>
      <c r="F22" s="34">
        <f>ROUND(2*E22,0)/2</f>
        <v>997</v>
      </c>
      <c r="G22" s="34">
        <f>+C22-(C$7+F22*C$8)</f>
        <v>-7.7470000032917596E-3</v>
      </c>
      <c r="I22" s="34">
        <f>+G22</f>
        <v>-7.7470000032917596E-3</v>
      </c>
      <c r="O22" s="34">
        <f ca="1">+C$11+C$12*$F22</f>
        <v>-7.1218276689983236E-3</v>
      </c>
      <c r="Q22" s="36">
        <f>+C22-15018.5</f>
        <v>37482.207000000002</v>
      </c>
    </row>
    <row r="23" spans="1:21" s="34" customFormat="1" ht="12.95" customHeight="1" x14ac:dyDescent="0.2">
      <c r="A23" s="6" t="s">
        <v>44</v>
      </c>
      <c r="B23" s="7" t="s">
        <v>40</v>
      </c>
      <c r="C23" s="39">
        <v>58612.669000000002</v>
      </c>
      <c r="D23" s="40">
        <v>2.0999999999999999E-3</v>
      </c>
      <c r="E23" s="34">
        <f>+(C23-C$7)/C$8</f>
        <v>11857.850097112221</v>
      </c>
      <c r="F23" s="34">
        <f>ROUND(2*E23,0)/2</f>
        <v>11858</v>
      </c>
      <c r="G23" s="34">
        <f>+C23-(C$7+F23*C$8)</f>
        <v>-8.4358000000065658E-2</v>
      </c>
      <c r="K23" s="34">
        <f>+G23</f>
        <v>-8.4358000000065658E-2</v>
      </c>
      <c r="O23" s="34">
        <f ca="1">+C$11+C$12*$F23</f>
        <v>-8.8961903935283637E-2</v>
      </c>
      <c r="Q23" s="36">
        <f>+C23-15018.5</f>
        <v>43594.169000000002</v>
      </c>
    </row>
    <row r="24" spans="1:21" s="34" customFormat="1" ht="12.95" customHeight="1" x14ac:dyDescent="0.2">
      <c r="A24" s="41" t="s">
        <v>45</v>
      </c>
      <c r="B24" s="42" t="s">
        <v>40</v>
      </c>
      <c r="C24" s="43">
        <v>60404.43600000022</v>
      </c>
      <c r="D24" s="41">
        <v>3.0000000000000001E-3</v>
      </c>
      <c r="E24" s="34">
        <f>+(C24-C$7)/C$8</f>
        <v>15041.792906632272</v>
      </c>
      <c r="F24" s="34">
        <f>ROUND(2*E24,0)/2</f>
        <v>15042</v>
      </c>
      <c r="G24" s="34">
        <f>+C24-(C$7+F24*C$8)</f>
        <v>-0.11654199978511315</v>
      </c>
      <c r="K24" s="34">
        <f>+G24</f>
        <v>-0.11654199978511315</v>
      </c>
      <c r="O24" s="34">
        <f ca="1">+C$11+C$12*$F24</f>
        <v>-0.11295405961448929</v>
      </c>
      <c r="Q24" s="36">
        <f>+C24-15018.5</f>
        <v>45385.93600000022</v>
      </c>
    </row>
    <row r="25" spans="1:21" s="34" customFormat="1" ht="12.95" customHeight="1" x14ac:dyDescent="0.2">
      <c r="C25" s="35"/>
      <c r="D25" s="35"/>
      <c r="Q25" s="36"/>
    </row>
    <row r="26" spans="1:21" s="34" customFormat="1" ht="12.95" customHeight="1" x14ac:dyDescent="0.2">
      <c r="C26" s="35"/>
      <c r="D26" s="35"/>
      <c r="Q26" s="36"/>
    </row>
    <row r="27" spans="1:21" s="34" customFormat="1" ht="12.95" customHeight="1" x14ac:dyDescent="0.2">
      <c r="C27" s="35"/>
      <c r="D27" s="35"/>
      <c r="Q27" s="36"/>
    </row>
    <row r="28" spans="1:21" s="34" customFormat="1" ht="12.95" customHeight="1" x14ac:dyDescent="0.2">
      <c r="C28" s="35"/>
      <c r="D28" s="35"/>
      <c r="Q28" s="36"/>
    </row>
    <row r="29" spans="1:21" s="34" customFormat="1" ht="12.95" customHeight="1" x14ac:dyDescent="0.2">
      <c r="C29" s="35"/>
      <c r="D29" s="35"/>
      <c r="Q29" s="36"/>
    </row>
    <row r="30" spans="1:21" s="34" customFormat="1" ht="12.95" customHeight="1" x14ac:dyDescent="0.2">
      <c r="C30" s="35"/>
      <c r="D30" s="35"/>
      <c r="Q30" s="36"/>
    </row>
    <row r="31" spans="1:21" s="34" customFormat="1" ht="12.95" customHeight="1" x14ac:dyDescent="0.2">
      <c r="C31" s="35"/>
      <c r="D31" s="35"/>
      <c r="Q31" s="36"/>
    </row>
    <row r="32" spans="1:21" s="34" customFormat="1" ht="12.95" customHeight="1" x14ac:dyDescent="0.2">
      <c r="C32" s="35"/>
      <c r="D32" s="35"/>
      <c r="Q32" s="36"/>
    </row>
    <row r="33" spans="3:17" s="34" customFormat="1" ht="12.95" customHeight="1" x14ac:dyDescent="0.2">
      <c r="C33" s="35"/>
      <c r="D33" s="35"/>
      <c r="Q33" s="36"/>
    </row>
    <row r="34" spans="3:17" s="8" customFormat="1" ht="12" customHeight="1" x14ac:dyDescent="0.2">
      <c r="C34" s="9"/>
      <c r="D34" s="9"/>
    </row>
    <row r="35" spans="3:17" s="8" customFormat="1" ht="12" customHeight="1" x14ac:dyDescent="0.2">
      <c r="C35" s="9"/>
      <c r="D35" s="9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V31">
    <sortCondition ref="C21:C31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2025-01-08T01:07:52Z</dcterms:modified>
</cp:coreProperties>
</file>