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B7E9D1A-8887-42F4-97FC-B8D0612F7F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65" i="1" l="1"/>
  <c r="F65" i="1" s="1"/>
  <c r="G65" i="1" s="1"/>
  <c r="Q65" i="1"/>
  <c r="F12" i="1"/>
  <c r="E63" i="1"/>
  <c r="F63" i="1" s="1"/>
  <c r="G63" i="1" s="1"/>
  <c r="Q63" i="1"/>
  <c r="E64" i="1"/>
  <c r="F64" i="1" s="1"/>
  <c r="G64" i="1" s="1"/>
  <c r="Q64" i="1"/>
  <c r="E61" i="1"/>
  <c r="F61" i="1" s="1"/>
  <c r="G61" i="1" s="1"/>
  <c r="Q61" i="1"/>
  <c r="E62" i="1"/>
  <c r="F62" i="1" s="1"/>
  <c r="G62" i="1" s="1"/>
  <c r="Q62" i="1"/>
  <c r="E46" i="1"/>
  <c r="F46" i="1" s="1"/>
  <c r="G46" i="1" s="1"/>
  <c r="Q21" i="1"/>
  <c r="Q23" i="1"/>
  <c r="Q24" i="1"/>
  <c r="Q25" i="1"/>
  <c r="Q28" i="1"/>
  <c r="Q29" i="1"/>
  <c r="Q30" i="1"/>
  <c r="Q38" i="1"/>
  <c r="Q40" i="1"/>
  <c r="Q42" i="1"/>
  <c r="Q49" i="1"/>
  <c r="Q50" i="1"/>
  <c r="Q51" i="1"/>
  <c r="Q55" i="1"/>
  <c r="Q22" i="1"/>
  <c r="Q26" i="1"/>
  <c r="Q27" i="1"/>
  <c r="Q54" i="1"/>
  <c r="G27" i="2"/>
  <c r="C27" i="2"/>
  <c r="G26" i="2"/>
  <c r="C26" i="2"/>
  <c r="G25" i="2"/>
  <c r="C25" i="2"/>
  <c r="G24" i="2"/>
  <c r="C24" i="2"/>
  <c r="G23" i="2"/>
  <c r="C23" i="2"/>
  <c r="G45" i="2"/>
  <c r="C45" i="2"/>
  <c r="G44" i="2"/>
  <c r="C44" i="2"/>
  <c r="G22" i="2"/>
  <c r="C22" i="2"/>
  <c r="G21" i="2"/>
  <c r="C21" i="2"/>
  <c r="G43" i="2"/>
  <c r="C43" i="2"/>
  <c r="G42" i="2"/>
  <c r="C42" i="2"/>
  <c r="G41" i="2"/>
  <c r="C41" i="2"/>
  <c r="G20" i="2"/>
  <c r="C20" i="2"/>
  <c r="G19" i="2"/>
  <c r="C19" i="2"/>
  <c r="G18" i="2"/>
  <c r="C18" i="2"/>
  <c r="G17" i="2"/>
  <c r="C17" i="2"/>
  <c r="G40" i="2"/>
  <c r="C40" i="2"/>
  <c r="G39" i="2"/>
  <c r="C39" i="2"/>
  <c r="G38" i="2"/>
  <c r="C38" i="2"/>
  <c r="G16" i="2"/>
  <c r="C16" i="2"/>
  <c r="G15" i="2"/>
  <c r="C15" i="2"/>
  <c r="G14" i="2"/>
  <c r="C14" i="2"/>
  <c r="G13" i="2"/>
  <c r="C13" i="2"/>
  <c r="G12" i="2"/>
  <c r="C12" i="2"/>
  <c r="G11" i="2"/>
  <c r="C11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45" i="2"/>
  <c r="D45" i="2"/>
  <c r="B45" i="2"/>
  <c r="A45" i="2"/>
  <c r="H44" i="2"/>
  <c r="D44" i="2"/>
  <c r="B44" i="2"/>
  <c r="A44" i="2"/>
  <c r="H22" i="2"/>
  <c r="D22" i="2"/>
  <c r="B22" i="2"/>
  <c r="A22" i="2"/>
  <c r="H21" i="2"/>
  <c r="D21" i="2"/>
  <c r="B21" i="2"/>
  <c r="A21" i="2"/>
  <c r="H43" i="2"/>
  <c r="D43" i="2"/>
  <c r="B43" i="2"/>
  <c r="A43" i="2"/>
  <c r="H42" i="2"/>
  <c r="D42" i="2"/>
  <c r="B42" i="2"/>
  <c r="A42" i="2"/>
  <c r="H41" i="2"/>
  <c r="D41" i="2"/>
  <c r="B41" i="2"/>
  <c r="A4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40" i="2"/>
  <c r="D40" i="2"/>
  <c r="B40" i="2"/>
  <c r="A40" i="2"/>
  <c r="H39" i="2"/>
  <c r="D39" i="2"/>
  <c r="B39" i="2"/>
  <c r="A39" i="2"/>
  <c r="H38" i="2"/>
  <c r="D38" i="2"/>
  <c r="B38" i="2"/>
  <c r="A38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Q60" i="1"/>
  <c r="C13" i="1"/>
  <c r="Q59" i="1"/>
  <c r="Q58" i="1"/>
  <c r="Q48" i="1"/>
  <c r="Q56" i="1"/>
  <c r="Q57" i="1"/>
  <c r="Q31" i="1"/>
  <c r="Q44" i="1"/>
  <c r="Q45" i="1"/>
  <c r="Q39" i="1"/>
  <c r="Q41" i="1"/>
  <c r="Q43" i="1"/>
  <c r="Q33" i="1"/>
  <c r="Q34" i="1"/>
  <c r="Q35" i="1"/>
  <c r="Q36" i="1"/>
  <c r="Q37" i="1"/>
  <c r="Q46" i="1"/>
  <c r="Q47" i="1"/>
  <c r="Q52" i="1"/>
  <c r="Q53" i="1"/>
  <c r="E21" i="1"/>
  <c r="F21" i="1"/>
  <c r="G21" i="1" s="1"/>
  <c r="D14" i="1"/>
  <c r="D13" i="1"/>
  <c r="C14" i="1"/>
  <c r="C17" i="1"/>
  <c r="Q32" i="1"/>
  <c r="E27" i="2"/>
  <c r="E28" i="2"/>
  <c r="E19" i="2"/>
  <c r="E36" i="1"/>
  <c r="F36" i="1" s="1"/>
  <c r="G36" i="1" s="1"/>
  <c r="E60" i="1"/>
  <c r="F60" i="1" s="1"/>
  <c r="G60" i="1" s="1"/>
  <c r="E58" i="1"/>
  <c r="F58" i="1" s="1"/>
  <c r="G58" i="1" s="1"/>
  <c r="E53" i="1"/>
  <c r="F53" i="1" s="1"/>
  <c r="G53" i="1" s="1"/>
  <c r="E47" i="1"/>
  <c r="F47" i="1" s="1"/>
  <c r="G47" i="1" s="1"/>
  <c r="E44" i="1"/>
  <c r="F44" i="1" s="1"/>
  <c r="G44" i="1" s="1"/>
  <c r="E41" i="1"/>
  <c r="F41" i="1"/>
  <c r="G41" i="1" s="1"/>
  <c r="E37" i="1"/>
  <c r="F37" i="1" s="1"/>
  <c r="G37" i="1" s="1"/>
  <c r="E32" i="1"/>
  <c r="F32" i="1" s="1"/>
  <c r="G32" i="1" s="1"/>
  <c r="E54" i="1"/>
  <c r="E44" i="2" s="1"/>
  <c r="E26" i="1"/>
  <c r="F26" i="1" s="1"/>
  <c r="G26" i="1" s="1"/>
  <c r="E55" i="1"/>
  <c r="F55" i="1" s="1"/>
  <c r="G55" i="1" s="1"/>
  <c r="E50" i="1"/>
  <c r="E42" i="2" s="1"/>
  <c r="E42" i="1"/>
  <c r="F42" i="1"/>
  <c r="G42" i="1" s="1"/>
  <c r="E38" i="1"/>
  <c r="F38" i="1"/>
  <c r="G38" i="1" s="1"/>
  <c r="E29" i="1"/>
  <c r="F29" i="1" s="1"/>
  <c r="G29" i="1" s="1"/>
  <c r="E25" i="1"/>
  <c r="F25" i="1" s="1"/>
  <c r="G25" i="1" s="1"/>
  <c r="E23" i="1"/>
  <c r="F23" i="1" s="1"/>
  <c r="G23" i="1" s="1"/>
  <c r="E57" i="1"/>
  <c r="E35" i="1"/>
  <c r="F35" i="1" s="1"/>
  <c r="G35" i="1" s="1"/>
  <c r="E52" i="1"/>
  <c r="F52" i="1" s="1"/>
  <c r="G52" i="1" s="1"/>
  <c r="E34" i="1"/>
  <c r="F34" i="1"/>
  <c r="G34" i="1" s="1"/>
  <c r="E59" i="1"/>
  <c r="F59" i="1" s="1"/>
  <c r="G59" i="1" s="1"/>
  <c r="E56" i="1"/>
  <c r="F56" i="1" s="1"/>
  <c r="G56" i="1" s="1"/>
  <c r="E48" i="1"/>
  <c r="F48" i="1" s="1"/>
  <c r="G48" i="1" s="1"/>
  <c r="E45" i="1"/>
  <c r="F45" i="1" s="1"/>
  <c r="G45" i="1" s="1"/>
  <c r="E43" i="1"/>
  <c r="F43" i="1" s="1"/>
  <c r="G43" i="1" s="1"/>
  <c r="E39" i="1"/>
  <c r="F39" i="1" s="1"/>
  <c r="G39" i="1" s="1"/>
  <c r="E33" i="1"/>
  <c r="F33" i="1" s="1"/>
  <c r="G33" i="1" s="1"/>
  <c r="E31" i="1"/>
  <c r="F31" i="1" s="1"/>
  <c r="G31" i="1" s="1"/>
  <c r="E27" i="1"/>
  <c r="F27" i="1" s="1"/>
  <c r="G27" i="1" s="1"/>
  <c r="E22" i="1"/>
  <c r="F22" i="1" s="1"/>
  <c r="G22" i="1" s="1"/>
  <c r="E51" i="1"/>
  <c r="F51" i="1" s="1"/>
  <c r="G51" i="1" s="1"/>
  <c r="E49" i="1"/>
  <c r="E40" i="1"/>
  <c r="F40" i="1" s="1"/>
  <c r="G40" i="1" s="1"/>
  <c r="E30" i="1"/>
  <c r="F30" i="1" s="1"/>
  <c r="G30" i="1" s="1"/>
  <c r="E28" i="1"/>
  <c r="E35" i="2" s="1"/>
  <c r="E24" i="1"/>
  <c r="F24" i="1"/>
  <c r="G24" i="1" s="1"/>
  <c r="F28" i="1"/>
  <c r="G28" i="1" s="1"/>
  <c r="E30" i="2"/>
  <c r="E25" i="2"/>
  <c r="E45" i="2"/>
  <c r="E40" i="2"/>
  <c r="E43" i="2"/>
  <c r="E14" i="2"/>
  <c r="E13" i="2"/>
  <c r="E20" i="2"/>
  <c r="F49" i="1"/>
  <c r="G49" i="1" s="1"/>
  <c r="E41" i="2"/>
  <c r="F57" i="1"/>
  <c r="G57" i="1" s="1"/>
  <c r="E24" i="2"/>
  <c r="E22" i="2"/>
  <c r="E11" i="2"/>
  <c r="E17" i="2"/>
  <c r="E38" i="2"/>
  <c r="E34" i="2"/>
  <c r="E33" i="2"/>
  <c r="E31" i="2"/>
  <c r="I65" i="1" l="1"/>
  <c r="S65" i="1"/>
  <c r="R49" i="1"/>
  <c r="I49" i="1"/>
  <c r="I57" i="1"/>
  <c r="S57" i="1"/>
  <c r="E15" i="2"/>
  <c r="E39" i="2"/>
  <c r="F50" i="1"/>
  <c r="G50" i="1" s="1"/>
  <c r="E37" i="2"/>
  <c r="E23" i="2"/>
  <c r="E21" i="2"/>
  <c r="E16" i="2"/>
  <c r="S35" i="1"/>
  <c r="I35" i="1"/>
  <c r="R41" i="1"/>
  <c r="I41" i="1"/>
  <c r="R28" i="1"/>
  <c r="K28" i="1"/>
  <c r="I51" i="1"/>
  <c r="R51" i="1"/>
  <c r="R45" i="1"/>
  <c r="I45" i="1"/>
  <c r="I50" i="1"/>
  <c r="R50" i="1"/>
  <c r="U21" i="1"/>
  <c r="K24" i="1"/>
  <c r="R24" i="1"/>
  <c r="I56" i="1"/>
  <c r="R56" i="1"/>
  <c r="R47" i="1"/>
  <c r="I47" i="1"/>
  <c r="U23" i="1"/>
  <c r="K27" i="1"/>
  <c r="S27" i="1"/>
  <c r="R31" i="1"/>
  <c r="I31" i="1"/>
  <c r="I59" i="1"/>
  <c r="R59" i="1"/>
  <c r="R29" i="1"/>
  <c r="K29" i="1"/>
  <c r="S26" i="1"/>
  <c r="K26" i="1"/>
  <c r="R53" i="1"/>
  <c r="I53" i="1"/>
  <c r="S22" i="1"/>
  <c r="K22" i="1"/>
  <c r="I58" i="1"/>
  <c r="R58" i="1"/>
  <c r="I48" i="1"/>
  <c r="R48" i="1"/>
  <c r="R25" i="1"/>
  <c r="K25" i="1"/>
  <c r="R30" i="1"/>
  <c r="K30" i="1"/>
  <c r="S34" i="1"/>
  <c r="I34" i="1"/>
  <c r="I37" i="1"/>
  <c r="R37" i="1"/>
  <c r="R39" i="1"/>
  <c r="I39" i="1"/>
  <c r="R32" i="1"/>
  <c r="H32" i="1"/>
  <c r="R60" i="1"/>
  <c r="I60" i="1"/>
  <c r="S46" i="1"/>
  <c r="I46" i="1"/>
  <c r="I43" i="1"/>
  <c r="R43" i="1"/>
  <c r="R44" i="1"/>
  <c r="I44" i="1"/>
  <c r="R55" i="1"/>
  <c r="I55" i="1"/>
  <c r="R33" i="1"/>
  <c r="I33" i="1"/>
  <c r="R38" i="1"/>
  <c r="I38" i="1"/>
  <c r="I40" i="1"/>
  <c r="R40" i="1"/>
  <c r="S52" i="1"/>
  <c r="I52" i="1"/>
  <c r="R42" i="1"/>
  <c r="I42" i="1"/>
  <c r="I36" i="1"/>
  <c r="S36" i="1"/>
  <c r="F54" i="1"/>
  <c r="G54" i="1" s="1"/>
  <c r="E32" i="2"/>
  <c r="E26" i="2"/>
  <c r="E12" i="2"/>
  <c r="E36" i="2"/>
  <c r="E18" i="2"/>
  <c r="E29" i="2"/>
  <c r="F13" i="1"/>
  <c r="R64" i="1"/>
  <c r="I64" i="1"/>
  <c r="I63" i="1"/>
  <c r="S63" i="1"/>
  <c r="I62" i="1"/>
  <c r="R62" i="1"/>
  <c r="I61" i="1"/>
  <c r="S61" i="1"/>
  <c r="C11" i="1"/>
  <c r="C12" i="1"/>
  <c r="O65" i="1" l="1"/>
  <c r="I54" i="1"/>
  <c r="S54" i="1"/>
  <c r="S19" i="1"/>
  <c r="E19" i="1" s="1"/>
  <c r="O63" i="1"/>
  <c r="O64" i="1"/>
  <c r="O61" i="1"/>
  <c r="O62" i="1"/>
  <c r="R19" i="1"/>
  <c r="E18" i="1" s="1"/>
  <c r="C16" i="1"/>
  <c r="D18" i="1" s="1"/>
  <c r="O59" i="1"/>
  <c r="O31" i="1"/>
  <c r="O45" i="1"/>
  <c r="O41" i="1"/>
  <c r="O44" i="1"/>
  <c r="O28" i="1"/>
  <c r="O38" i="1"/>
  <c r="O53" i="1"/>
  <c r="C15" i="1"/>
  <c r="O23" i="1"/>
  <c r="O25" i="1"/>
  <c r="O52" i="1"/>
  <c r="O46" i="1"/>
  <c r="O55" i="1"/>
  <c r="O26" i="1"/>
  <c r="O54" i="1"/>
  <c r="O32" i="1"/>
  <c r="O47" i="1"/>
  <c r="O24" i="1"/>
  <c r="O39" i="1"/>
  <c r="O43" i="1"/>
  <c r="O34" i="1"/>
  <c r="O36" i="1"/>
  <c r="O37" i="1"/>
  <c r="O30" i="1"/>
  <c r="O40" i="1"/>
  <c r="O49" i="1"/>
  <c r="O51" i="1"/>
  <c r="O42" i="1"/>
  <c r="O27" i="1"/>
  <c r="O57" i="1"/>
  <c r="O29" i="1"/>
  <c r="O22" i="1"/>
  <c r="O33" i="1"/>
  <c r="O58" i="1"/>
  <c r="O56" i="1"/>
  <c r="O60" i="1"/>
  <c r="O48" i="1"/>
  <c r="O50" i="1"/>
  <c r="O35" i="1"/>
  <c r="O21" i="1"/>
  <c r="D12" i="1"/>
  <c r="D11" i="1"/>
  <c r="P65" i="1" l="1"/>
  <c r="P61" i="1"/>
  <c r="P58" i="1"/>
  <c r="P21" i="1"/>
  <c r="P59" i="1"/>
  <c r="P28" i="1"/>
  <c r="P23" i="1"/>
  <c r="P47" i="1"/>
  <c r="P54" i="1"/>
  <c r="P64" i="1"/>
  <c r="P40" i="1"/>
  <c r="P53" i="1"/>
  <c r="P35" i="1"/>
  <c r="P32" i="1"/>
  <c r="P45" i="1"/>
  <c r="P29" i="1"/>
  <c r="P62" i="1"/>
  <c r="P52" i="1"/>
  <c r="P27" i="1"/>
  <c r="D15" i="1"/>
  <c r="C19" i="1" s="1"/>
  <c r="P57" i="1"/>
  <c r="P26" i="1"/>
  <c r="P48" i="1"/>
  <c r="P42" i="1"/>
  <c r="P37" i="1"/>
  <c r="P60" i="1"/>
  <c r="P31" i="1"/>
  <c r="P63" i="1"/>
  <c r="P22" i="1"/>
  <c r="P30" i="1"/>
  <c r="P43" i="1"/>
  <c r="P55" i="1"/>
  <c r="P36" i="1"/>
  <c r="P49" i="1"/>
  <c r="P56" i="1"/>
  <c r="P34" i="1"/>
  <c r="P33" i="1"/>
  <c r="P25" i="1"/>
  <c r="P24" i="1"/>
  <c r="P41" i="1"/>
  <c r="P38" i="1"/>
  <c r="P44" i="1"/>
  <c r="P50" i="1"/>
  <c r="P46" i="1"/>
  <c r="P51" i="1"/>
  <c r="P39" i="1"/>
  <c r="D16" i="1"/>
  <c r="D19" i="1" s="1"/>
  <c r="F14" i="1"/>
  <c r="C18" i="1"/>
  <c r="F16" i="1" l="1"/>
  <c r="F15" i="1"/>
</calcChain>
</file>

<file path=xl/sharedStrings.xml><?xml version="1.0" encoding="utf-8"?>
<sst xmlns="http://schemas.openxmlformats.org/spreadsheetml/2006/main" count="426" uniqueCount="192">
  <si>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</si>
  <si>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</si>
  <si>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</si>
  <si>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</si>
  <si>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</si>
  <si>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</si>
  <si>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</si>
  <si>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</si>
  <si>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</si>
  <si>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</si>
  <si>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</si>
  <si>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</si>
  <si>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</si>
  <si>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</si>
  <si>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</si>
  <si>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</si>
  <si>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</si>
  <si>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</si>
  <si>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</si>
  <si>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</si>
  <si>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</si>
  <si>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</si>
  <si>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</si>
  <si>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</si>
  <si>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</si>
  <si>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</si>
  <si>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</si>
  <si>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</si>
  <si>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</si>
  <si>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</si>
  <si>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</si>
  <si>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</si>
  <si>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</si>
  <si>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</si>
  <si>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</si>
  <si>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 xml:space="preserve">V0335 Ser / GSC 0353-0301               </t>
  </si>
  <si>
    <t>Kreiner Eph.</t>
  </si>
  <si>
    <t>J.M. Kreiner, 2004, Acta Astronomica, vol. 54, pp 207-210.</t>
  </si>
  <si>
    <t>EA</t>
  </si>
  <si>
    <t>Kreiner</t>
  </si>
  <si>
    <t>I</t>
  </si>
  <si>
    <t>IBVS 5296</t>
  </si>
  <si>
    <t>IBVS 5910</t>
  </si>
  <si>
    <t>OEJV 0094</t>
  </si>
  <si>
    <t>IBVS 5978</t>
  </si>
  <si>
    <t>II</t>
  </si>
  <si>
    <t>IBVS 6014</t>
  </si>
  <si>
    <t>OEJV 0160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</si>
  <si>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</si>
  <si>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</si>
  <si>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</si>
  <si>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</si>
  <si>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</si>
  <si>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</si>
  <si>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</si>
  <si>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</si>
  <si>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</si>
  <si>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</si>
  <si>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</si>
  <si>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2447907.100 </t>
  </si>
  <si>
    <t> 15.01.1990 14:24 </t>
  </si>
  <si>
    <t> 0.423 </t>
  </si>
  <si>
    <t>E </t>
  </si>
  <si>
    <t>?</t>
  </si>
  <si>
    <t> TYCHO </t>
  </si>
  <si>
    <t>IBVS 4536 </t>
  </si>
  <si>
    <t>2448257.072 </t>
  </si>
  <si>
    <t> 31.12.1990 13:43 </t>
  </si>
  <si>
    <t> 0.087 </t>
  </si>
  <si>
    <t>2448265.873 </t>
  </si>
  <si>
    <t> 09.01.1991 08:57 </t>
  </si>
  <si>
    <t> 0.408 </t>
  </si>
  <si>
    <t>2450304.35 </t>
  </si>
  <si>
    <t> 08.08.1996 20:24 </t>
  </si>
  <si>
    <t> 0.00 </t>
  </si>
  <si>
    <t>V </t>
  </si>
  <si>
    <t> E.Born </t>
  </si>
  <si>
    <t>BAVM 107 </t>
  </si>
  <si>
    <t>2450604.50 </t>
  </si>
  <si>
    <t> 05.06.1997 00:00 </t>
  </si>
  <si>
    <t> 0.01 </t>
  </si>
  <si>
    <t>2450606.37 </t>
  </si>
  <si>
    <t> 06.06.1997 20:52 </t>
  </si>
  <si>
    <t>2450637.39 </t>
  </si>
  <si>
    <t> 07.07.1997 21:21 </t>
  </si>
  <si>
    <t> -0.02 </t>
  </si>
  <si>
    <t>2450649.35 </t>
  </si>
  <si>
    <t> 19.07.1997 20:24 </t>
  </si>
  <si>
    <t>2450949.486 </t>
  </si>
  <si>
    <t> 15.05.1998 23:39 </t>
  </si>
  <si>
    <t> 0.010 </t>
  </si>
  <si>
    <t> M.Dahm </t>
  </si>
  <si>
    <t>BAVM 131 </t>
  </si>
  <si>
    <t>2450949.488 </t>
  </si>
  <si>
    <t> 15.05.1998 23:42 </t>
  </si>
  <si>
    <t> 0.012 </t>
  </si>
  <si>
    <t>BAVM 113 </t>
  </si>
  <si>
    <t>2451708.4494 </t>
  </si>
  <si>
    <t> 12.06.2000 22:47 </t>
  </si>
  <si>
    <t> -0.0010 </t>
  </si>
  <si>
    <t> W.Quester </t>
  </si>
  <si>
    <t>BAVM 152 </t>
  </si>
  <si>
    <t>2453885.3276 </t>
  </si>
  <si>
    <t> 29.05.2006 19:51 </t>
  </si>
  <si>
    <t> -0.0001 </t>
  </si>
  <si>
    <t>B;V</t>
  </si>
  <si>
    <t> Buzkurt &amp; Zeynep </t>
  </si>
  <si>
    <t>IBVS 5978 </t>
  </si>
  <si>
    <t>2453911.3391 </t>
  </si>
  <si>
    <t> 24.06.2006 20:08 </t>
  </si>
  <si>
    <t> -0.0070 </t>
  </si>
  <si>
    <t>2453942.3875 </t>
  </si>
  <si>
    <t> 25.07.2006 21:18 </t>
  </si>
  <si>
    <t> -0.0076 </t>
  </si>
  <si>
    <t>2454287.3750 </t>
  </si>
  <si>
    <t> 05.07.2007 21:00 </t>
  </si>
  <si>
    <t> -0.0085 </t>
  </si>
  <si>
    <t>2454292.4138 </t>
  </si>
  <si>
    <t> 10.07.2007 21:55 </t>
  </si>
  <si>
    <t> -0.0004 </t>
  </si>
  <si>
    <t>2454599.4532 </t>
  </si>
  <si>
    <t> 12.05.2008 22:52 </t>
  </si>
  <si>
    <t> -0.0007 </t>
  </si>
  <si>
    <t>C </t>
  </si>
  <si>
    <t> H.Kucáková </t>
  </si>
  <si>
    <t>OEJV 0094 </t>
  </si>
  <si>
    <t>2454599.4538 </t>
  </si>
  <si>
    <t> 12.05.2008 22:53 </t>
  </si>
  <si>
    <t>R</t>
  </si>
  <si>
    <t>2454599.4547 </t>
  </si>
  <si>
    <t> 12.05.2008 22:54 </t>
  </si>
  <si>
    <t> 0.0008 </t>
  </si>
  <si>
    <t>2454616.7031 </t>
  </si>
  <si>
    <t> 30.05.2008 04:52 </t>
  </si>
  <si>
    <t> -0.0002 </t>
  </si>
  <si>
    <t> C.Lacy </t>
  </si>
  <si>
    <t>IBVS 5910 </t>
  </si>
  <si>
    <t>2454616.7032 </t>
  </si>
  <si>
    <t>2454670.3155 </t>
  </si>
  <si>
    <t> 22.07.2008 19:34 </t>
  </si>
  <si>
    <t> -0.0053 </t>
  </si>
  <si>
    <t>U;B;V</t>
  </si>
  <si>
    <t>2454675.3517 </t>
  </si>
  <si>
    <t> 27.07.2008 20:26 </t>
  </si>
  <si>
    <t> 0.0003 </t>
  </si>
  <si>
    <t>2455299.7795 </t>
  </si>
  <si>
    <t> 13.04.2010 06:42 </t>
  </si>
  <si>
    <t> -0.0011 </t>
  </si>
  <si>
    <t>IBVS 5972 </t>
  </si>
  <si>
    <t>2455337.7290 </t>
  </si>
  <si>
    <t> 21.05.2010 05:29 </t>
  </si>
  <si>
    <t> -0.0003 </t>
  </si>
  <si>
    <t>2455368.7776 </t>
  </si>
  <si>
    <t> 21.06.2010 06:39 </t>
  </si>
  <si>
    <t>2455384.4370 </t>
  </si>
  <si>
    <t> 06.07.2010 22:29 </t>
  </si>
  <si>
    <t> -0.0099 </t>
  </si>
  <si>
    <t>2455396.3780 </t>
  </si>
  <si>
    <t> 18.07.2010 21:04 </t>
  </si>
  <si>
    <t> 0.0007 </t>
  </si>
  <si>
    <t>2455401.6790 </t>
  </si>
  <si>
    <t> 24.07.2010 04:17 </t>
  </si>
  <si>
    <t> -0.0174 </t>
  </si>
  <si>
    <t>2455451.5751 </t>
  </si>
  <si>
    <t> 12.09.2010 01:48 </t>
  </si>
  <si>
    <t>2455630.9697 </t>
  </si>
  <si>
    <t> 10.03.2011 11:16 </t>
  </si>
  <si>
    <t> 0.0002 </t>
  </si>
  <si>
    <t>IBVS 6014 </t>
  </si>
  <si>
    <t>2455694.9212 </t>
  </si>
  <si>
    <t> 13.05.2011 10:06 </t>
  </si>
  <si>
    <t> -0.0154 </t>
  </si>
  <si>
    <t>2455734.46607 </t>
  </si>
  <si>
    <t> 21.06.2011 23:11 </t>
  </si>
  <si>
    <t> 0.00002 </t>
  </si>
  <si>
    <t> H.Ku?akova </t>
  </si>
  <si>
    <t>OEJV 0160 </t>
  </si>
  <si>
    <t>2455734.46617 </t>
  </si>
  <si>
    <t> 0.00012 </t>
  </si>
  <si>
    <t>2455734.46627 </t>
  </si>
  <si>
    <t> 0.00022 </t>
  </si>
  <si>
    <t>BAD?</t>
  </si>
  <si>
    <t>JBAV, 55</t>
  </si>
  <si>
    <t>JBAV, 79</t>
  </si>
  <si>
    <t>vis?</t>
  </si>
  <si>
    <t>S3</t>
  </si>
  <si>
    <t>JBAV 96</t>
  </si>
  <si>
    <t xml:space="preserve">Mag </t>
  </si>
  <si>
    <t>Next ToM-P</t>
  </si>
  <si>
    <t>Next ToM-S</t>
  </si>
  <si>
    <t>7.60-8.30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</si>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</sst>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  <xf numFmtId="43" fontId="22" fillId="0" borderId="0" applyFont="0" applyFill="0" applyBorder="0" applyAlignment="0" applyProtection="0"/>
  </cellStyleXfs>
  <cellXfs count="82">
    <xf numFmtId="0" fontId="0" fillId="0" borderId="0" xfId="0" applyAlignment="1"/>
    <xf numFmtId="14" fontId="0" fillId="0" borderId="0" xfId="0" applyNumberFormat="1" applyAlignment="1"/>
    <xf numFmtId="0" fontId="5" fillId="0" borderId="0" xfId="0" applyFont="1" applyAlignment="1">
      <alignment horizontal="left" vertic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43" fontId="21" fillId="0" borderId="0" xfId="9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/>
    </xf>
    <xf numFmtId="165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65" fontId="21" fillId="0" borderId="0" xfId="0" applyNumberFormat="1" applyFont="1" applyAlignment="1" applyProtection="1">
      <alignment horizontal="left" vertical="center" wrapText="1"/>
      <protection locked="0"/>
    </xf>
    <xf numFmtId="43" fontId="21" fillId="0" borderId="0" xfId="9" applyFont="1" applyBorder="1" applyAlignment="1">
      <alignment horizontal="center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0" fillId="0" borderId="16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22" fontId="9" fillId="0" borderId="16" xfId="0" applyNumberFormat="1" applyFont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0" fontId="23" fillId="0" borderId="17" xfId="0" applyFont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22" fontId="9" fillId="0" borderId="18" xfId="0" applyNumberFormat="1" applyFont="1" applyBorder="1" applyAlignment="1">
      <alignment horizontal="right" vertical="center"/>
    </xf>
    <xf numFmtId="0" fontId="20" fillId="3" borderId="14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V0335 Ser - O-C Diagr.</a:t>
            </a:r>
          </a:p>
        </c:rich>
      </c:tx>
      <c:layout>
        <c:manualLayout>
          <c:xMode val="edge"/>
          <c:yMode val="edge"/>
          <c:x val="0.36774193548387096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1129032258064515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1'!$D$21:$D$494</c:f>
                <c:numCache>
                  <c:formatCode>General</c:formatCode>
                  <c:ptCount val="474"/>
                  <c:pt idx="10">
                    <c:v>2E-3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1E-4</c:v>
                  </c:pt>
                  <c:pt idx="18">
                    <c:v>6.9999999999999999E-4</c:v>
                  </c:pt>
                  <c:pt idx="20">
                    <c:v>5.0000000000000001E-4</c:v>
                  </c:pt>
                  <c:pt idx="22">
                    <c:v>5.9999999999999995E-4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5.9999999999999995E-4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31">
                    <c:v>4.0000000000000002E-4</c:v>
                  </c:pt>
                  <c:pt idx="32">
                    <c:v>2.9999999999999997E-4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2.9999999999999997E-4</c:v>
                  </c:pt>
                  <c:pt idx="40">
                    <c:v>3.0000000000000001E-3</c:v>
                  </c:pt>
                  <c:pt idx="41">
                    <c:v>5.0000000000000001E-3</c:v>
                  </c:pt>
                  <c:pt idx="42">
                    <c:v>7.0000000000000001E-3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</c:numCache>
              </c:numRef>
            </c:plus>
            <c:minus>
              <c:numRef>
                <c:f>'Active 1'!$D$21:$D$494</c:f>
                <c:numCache>
                  <c:formatCode>General</c:formatCode>
                  <c:ptCount val="474"/>
                  <c:pt idx="10">
                    <c:v>2E-3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1E-4</c:v>
                  </c:pt>
                  <c:pt idx="18">
                    <c:v>6.9999999999999999E-4</c:v>
                  </c:pt>
                  <c:pt idx="20">
                    <c:v>5.0000000000000001E-4</c:v>
                  </c:pt>
                  <c:pt idx="22">
                    <c:v>5.9999999999999995E-4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5.9999999999999995E-4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31">
                    <c:v>4.0000000000000002E-4</c:v>
                  </c:pt>
                  <c:pt idx="32">
                    <c:v>2.9999999999999997E-4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2.9999999999999997E-4</c:v>
                  </c:pt>
                  <c:pt idx="40">
                    <c:v>3.0000000000000001E-3</c:v>
                  </c:pt>
                  <c:pt idx="41">
                    <c:v>5.0000000000000001E-3</c:v>
                  </c:pt>
                  <c:pt idx="42">
                    <c:v>7.0000000000000001E-3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-1762</c:v>
                </c:pt>
                <c:pt idx="1">
                  <c:v>-1660.5</c:v>
                </c:pt>
                <c:pt idx="2">
                  <c:v>-1658</c:v>
                </c:pt>
                <c:pt idx="3">
                  <c:v>-1067</c:v>
                </c:pt>
                <c:pt idx="4">
                  <c:v>-980</c:v>
                </c:pt>
                <c:pt idx="5">
                  <c:v>-979.5</c:v>
                </c:pt>
                <c:pt idx="6">
                  <c:v>-970.5</c:v>
                </c:pt>
                <c:pt idx="7">
                  <c:v>-967</c:v>
                </c:pt>
                <c:pt idx="8">
                  <c:v>-880</c:v>
                </c:pt>
                <c:pt idx="9">
                  <c:v>-880</c:v>
                </c:pt>
                <c:pt idx="10">
                  <c:v>-660</c:v>
                </c:pt>
                <c:pt idx="11">
                  <c:v>-430</c:v>
                </c:pt>
                <c:pt idx="12">
                  <c:v>-29</c:v>
                </c:pt>
                <c:pt idx="13">
                  <c:v>-21.5</c:v>
                </c:pt>
                <c:pt idx="14">
                  <c:v>-12.5</c:v>
                </c:pt>
                <c:pt idx="15">
                  <c:v>87.5</c:v>
                </c:pt>
                <c:pt idx="16">
                  <c:v>89</c:v>
                </c:pt>
                <c:pt idx="17">
                  <c:v>178</c:v>
                </c:pt>
                <c:pt idx="18">
                  <c:v>178</c:v>
                </c:pt>
                <c:pt idx="19">
                  <c:v>178</c:v>
                </c:pt>
                <c:pt idx="20">
                  <c:v>178</c:v>
                </c:pt>
                <c:pt idx="21">
                  <c:v>178</c:v>
                </c:pt>
                <c:pt idx="22">
                  <c:v>178</c:v>
                </c:pt>
                <c:pt idx="23">
                  <c:v>183</c:v>
                </c:pt>
                <c:pt idx="24">
                  <c:v>183</c:v>
                </c:pt>
                <c:pt idx="25">
                  <c:v>198.5</c:v>
                </c:pt>
                <c:pt idx="26">
                  <c:v>200</c:v>
                </c:pt>
                <c:pt idx="27">
                  <c:v>200</c:v>
                </c:pt>
                <c:pt idx="28">
                  <c:v>381</c:v>
                </c:pt>
                <c:pt idx="29">
                  <c:v>392</c:v>
                </c:pt>
                <c:pt idx="30">
                  <c:v>401</c:v>
                </c:pt>
                <c:pt idx="31">
                  <c:v>405.5</c:v>
                </c:pt>
                <c:pt idx="32">
                  <c:v>409</c:v>
                </c:pt>
                <c:pt idx="33">
                  <c:v>410.5</c:v>
                </c:pt>
                <c:pt idx="34">
                  <c:v>425</c:v>
                </c:pt>
                <c:pt idx="35">
                  <c:v>477</c:v>
                </c:pt>
                <c:pt idx="36">
                  <c:v>495.5</c:v>
                </c:pt>
                <c:pt idx="37">
                  <c:v>507</c:v>
                </c:pt>
                <c:pt idx="38">
                  <c:v>507</c:v>
                </c:pt>
                <c:pt idx="39">
                  <c:v>507</c:v>
                </c:pt>
                <c:pt idx="40">
                  <c:v>1559.5</c:v>
                </c:pt>
                <c:pt idx="41">
                  <c:v>1563</c:v>
                </c:pt>
                <c:pt idx="42">
                  <c:v>1670.5</c:v>
                </c:pt>
                <c:pt idx="43">
                  <c:v>1672</c:v>
                </c:pt>
                <c:pt idx="44">
                  <c:v>1879.5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11">
                  <c:v>-1.2899999994260725E-2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24-41F1-9F3D-23D8C1EFEA2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-1762</c:v>
                </c:pt>
                <c:pt idx="1">
                  <c:v>-1660.5</c:v>
                </c:pt>
                <c:pt idx="2">
                  <c:v>-1658</c:v>
                </c:pt>
                <c:pt idx="3">
                  <c:v>-1067</c:v>
                </c:pt>
                <c:pt idx="4">
                  <c:v>-980</c:v>
                </c:pt>
                <c:pt idx="5">
                  <c:v>-979.5</c:v>
                </c:pt>
                <c:pt idx="6">
                  <c:v>-970.5</c:v>
                </c:pt>
                <c:pt idx="7">
                  <c:v>-967</c:v>
                </c:pt>
                <c:pt idx="8">
                  <c:v>-880</c:v>
                </c:pt>
                <c:pt idx="9">
                  <c:v>-880</c:v>
                </c:pt>
                <c:pt idx="10">
                  <c:v>-660</c:v>
                </c:pt>
                <c:pt idx="11">
                  <c:v>-430</c:v>
                </c:pt>
                <c:pt idx="12">
                  <c:v>-29</c:v>
                </c:pt>
                <c:pt idx="13">
                  <c:v>-21.5</c:v>
                </c:pt>
                <c:pt idx="14">
                  <c:v>-12.5</c:v>
                </c:pt>
                <c:pt idx="15">
                  <c:v>87.5</c:v>
                </c:pt>
                <c:pt idx="16">
                  <c:v>89</c:v>
                </c:pt>
                <c:pt idx="17">
                  <c:v>178</c:v>
                </c:pt>
                <c:pt idx="18">
                  <c:v>178</c:v>
                </c:pt>
                <c:pt idx="19">
                  <c:v>178</c:v>
                </c:pt>
                <c:pt idx="20">
                  <c:v>178</c:v>
                </c:pt>
                <c:pt idx="21">
                  <c:v>178</c:v>
                </c:pt>
                <c:pt idx="22">
                  <c:v>178</c:v>
                </c:pt>
                <c:pt idx="23">
                  <c:v>183</c:v>
                </c:pt>
                <c:pt idx="24">
                  <c:v>183</c:v>
                </c:pt>
                <c:pt idx="25">
                  <c:v>198.5</c:v>
                </c:pt>
                <c:pt idx="26">
                  <c:v>200</c:v>
                </c:pt>
                <c:pt idx="27">
                  <c:v>200</c:v>
                </c:pt>
                <c:pt idx="28">
                  <c:v>381</c:v>
                </c:pt>
                <c:pt idx="29">
                  <c:v>392</c:v>
                </c:pt>
                <c:pt idx="30">
                  <c:v>401</c:v>
                </c:pt>
                <c:pt idx="31">
                  <c:v>405.5</c:v>
                </c:pt>
                <c:pt idx="32">
                  <c:v>409</c:v>
                </c:pt>
                <c:pt idx="33">
                  <c:v>410.5</c:v>
                </c:pt>
                <c:pt idx="34">
                  <c:v>425</c:v>
                </c:pt>
                <c:pt idx="35">
                  <c:v>477</c:v>
                </c:pt>
                <c:pt idx="36">
                  <c:v>495.5</c:v>
                </c:pt>
                <c:pt idx="37">
                  <c:v>507</c:v>
                </c:pt>
                <c:pt idx="38">
                  <c:v>507</c:v>
                </c:pt>
                <c:pt idx="39">
                  <c:v>507</c:v>
                </c:pt>
                <c:pt idx="40">
                  <c:v>1559.5</c:v>
                </c:pt>
                <c:pt idx="41">
                  <c:v>1563</c:v>
                </c:pt>
                <c:pt idx="42">
                  <c:v>1670.5</c:v>
                </c:pt>
                <c:pt idx="43">
                  <c:v>1672</c:v>
                </c:pt>
                <c:pt idx="44">
                  <c:v>1879.5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10">
                  <c:v>-9.7999999998137355E-3</c:v>
                </c:pt>
                <c:pt idx="12">
                  <c:v>-5.8799999969778582E-3</c:v>
                </c:pt>
                <c:pt idx="13">
                  <c:v>0.13152000000263797</c:v>
                </c:pt>
                <c:pt idx="14">
                  <c:v>0.13100000000122236</c:v>
                </c:pt>
                <c:pt idx="15">
                  <c:v>0.13049999999930151</c:v>
                </c:pt>
                <c:pt idx="16">
                  <c:v>-5.5199999987962656E-3</c:v>
                </c:pt>
                <c:pt idx="17">
                  <c:v>-5.4399999935412779E-3</c:v>
                </c:pt>
                <c:pt idx="18">
                  <c:v>-5.3599999955622479E-3</c:v>
                </c:pt>
                <c:pt idx="19">
                  <c:v>-4.8399999941466376E-3</c:v>
                </c:pt>
                <c:pt idx="20">
                  <c:v>-4.7500000000582077E-3</c:v>
                </c:pt>
                <c:pt idx="21">
                  <c:v>-3.9399999950546771E-3</c:v>
                </c:pt>
                <c:pt idx="22">
                  <c:v>-3.8799999965704046E-3</c:v>
                </c:pt>
                <c:pt idx="23">
                  <c:v>-4.9399999988963827E-3</c:v>
                </c:pt>
                <c:pt idx="24">
                  <c:v>-4.8399999941466376E-3</c:v>
                </c:pt>
                <c:pt idx="25">
                  <c:v>0.13431999999738764</c:v>
                </c:pt>
                <c:pt idx="26">
                  <c:v>-4.3000000005122274E-3</c:v>
                </c:pt>
                <c:pt idx="27">
                  <c:v>-4.3000000005122274E-3</c:v>
                </c:pt>
                <c:pt idx="28">
                  <c:v>-4.7800000029383227E-3</c:v>
                </c:pt>
                <c:pt idx="29">
                  <c:v>-3.9599999945494346E-3</c:v>
                </c:pt>
                <c:pt idx="30">
                  <c:v>-4.2799999937415123E-3</c:v>
                </c:pt>
                <c:pt idx="31">
                  <c:v>0.13066000000253553</c:v>
                </c:pt>
                <c:pt idx="32">
                  <c:v>-2.9199999989941716E-3</c:v>
                </c:pt>
                <c:pt idx="33">
                  <c:v>0.12326000000030035</c:v>
                </c:pt>
                <c:pt idx="34">
                  <c:v>-3.8999999960651621E-3</c:v>
                </c:pt>
                <c:pt idx="35">
                  <c:v>-3.0599999954574741E-3</c:v>
                </c:pt>
                <c:pt idx="36">
                  <c:v>0.12565999999787891</c:v>
                </c:pt>
                <c:pt idx="37">
                  <c:v>-3.0899999983375892E-3</c:v>
                </c:pt>
                <c:pt idx="38">
                  <c:v>-2.9900000008638017E-3</c:v>
                </c:pt>
                <c:pt idx="39">
                  <c:v>-2.8900000033900142E-3</c:v>
                </c:pt>
                <c:pt idx="40">
                  <c:v>0.11814000012964243</c:v>
                </c:pt>
                <c:pt idx="41">
                  <c:v>2.5599999280530028E-3</c:v>
                </c:pt>
                <c:pt idx="42">
                  <c:v>0.11245999999664491</c:v>
                </c:pt>
                <c:pt idx="43">
                  <c:v>6.4000007841968909E-4</c:v>
                </c:pt>
                <c:pt idx="44">
                  <c:v>0.11753999978827778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24-41F1-9F3D-23D8C1EFEA2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-1762</c:v>
                </c:pt>
                <c:pt idx="1">
                  <c:v>-1660.5</c:v>
                </c:pt>
                <c:pt idx="2">
                  <c:v>-1658</c:v>
                </c:pt>
                <c:pt idx="3">
                  <c:v>-1067</c:v>
                </c:pt>
                <c:pt idx="4">
                  <c:v>-980</c:v>
                </c:pt>
                <c:pt idx="5">
                  <c:v>-979.5</c:v>
                </c:pt>
                <c:pt idx="6">
                  <c:v>-970.5</c:v>
                </c:pt>
                <c:pt idx="7">
                  <c:v>-967</c:v>
                </c:pt>
                <c:pt idx="8">
                  <c:v>-880</c:v>
                </c:pt>
                <c:pt idx="9">
                  <c:v>-880</c:v>
                </c:pt>
                <c:pt idx="10">
                  <c:v>-660</c:v>
                </c:pt>
                <c:pt idx="11">
                  <c:v>-430</c:v>
                </c:pt>
                <c:pt idx="12">
                  <c:v>-29</c:v>
                </c:pt>
                <c:pt idx="13">
                  <c:v>-21.5</c:v>
                </c:pt>
                <c:pt idx="14">
                  <c:v>-12.5</c:v>
                </c:pt>
                <c:pt idx="15">
                  <c:v>87.5</c:v>
                </c:pt>
                <c:pt idx="16">
                  <c:v>89</c:v>
                </c:pt>
                <c:pt idx="17">
                  <c:v>178</c:v>
                </c:pt>
                <c:pt idx="18">
                  <c:v>178</c:v>
                </c:pt>
                <c:pt idx="19">
                  <c:v>178</c:v>
                </c:pt>
                <c:pt idx="20">
                  <c:v>178</c:v>
                </c:pt>
                <c:pt idx="21">
                  <c:v>178</c:v>
                </c:pt>
                <c:pt idx="22">
                  <c:v>178</c:v>
                </c:pt>
                <c:pt idx="23">
                  <c:v>183</c:v>
                </c:pt>
                <c:pt idx="24">
                  <c:v>183</c:v>
                </c:pt>
                <c:pt idx="25">
                  <c:v>198.5</c:v>
                </c:pt>
                <c:pt idx="26">
                  <c:v>200</c:v>
                </c:pt>
                <c:pt idx="27">
                  <c:v>200</c:v>
                </c:pt>
                <c:pt idx="28">
                  <c:v>381</c:v>
                </c:pt>
                <c:pt idx="29">
                  <c:v>392</c:v>
                </c:pt>
                <c:pt idx="30">
                  <c:v>401</c:v>
                </c:pt>
                <c:pt idx="31">
                  <c:v>405.5</c:v>
                </c:pt>
                <c:pt idx="32">
                  <c:v>409</c:v>
                </c:pt>
                <c:pt idx="33">
                  <c:v>410.5</c:v>
                </c:pt>
                <c:pt idx="34">
                  <c:v>425</c:v>
                </c:pt>
                <c:pt idx="35">
                  <c:v>477</c:v>
                </c:pt>
                <c:pt idx="36">
                  <c:v>495.5</c:v>
                </c:pt>
                <c:pt idx="37">
                  <c:v>507</c:v>
                </c:pt>
                <c:pt idx="38">
                  <c:v>507</c:v>
                </c:pt>
                <c:pt idx="39">
                  <c:v>507</c:v>
                </c:pt>
                <c:pt idx="40">
                  <c:v>1559.5</c:v>
                </c:pt>
                <c:pt idx="41">
                  <c:v>1563</c:v>
                </c:pt>
                <c:pt idx="42">
                  <c:v>1670.5</c:v>
                </c:pt>
                <c:pt idx="43">
                  <c:v>1672</c:v>
                </c:pt>
                <c:pt idx="44">
                  <c:v>1879.5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24-41F1-9F3D-23D8C1EFEA2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-1762</c:v>
                </c:pt>
                <c:pt idx="1">
                  <c:v>-1660.5</c:v>
                </c:pt>
                <c:pt idx="2">
                  <c:v>-1658</c:v>
                </c:pt>
                <c:pt idx="3">
                  <c:v>-1067</c:v>
                </c:pt>
                <c:pt idx="4">
                  <c:v>-980</c:v>
                </c:pt>
                <c:pt idx="5">
                  <c:v>-979.5</c:v>
                </c:pt>
                <c:pt idx="6">
                  <c:v>-970.5</c:v>
                </c:pt>
                <c:pt idx="7">
                  <c:v>-967</c:v>
                </c:pt>
                <c:pt idx="8">
                  <c:v>-880</c:v>
                </c:pt>
                <c:pt idx="9">
                  <c:v>-880</c:v>
                </c:pt>
                <c:pt idx="10">
                  <c:v>-660</c:v>
                </c:pt>
                <c:pt idx="11">
                  <c:v>-430</c:v>
                </c:pt>
                <c:pt idx="12">
                  <c:v>-29</c:v>
                </c:pt>
                <c:pt idx="13">
                  <c:v>-21.5</c:v>
                </c:pt>
                <c:pt idx="14">
                  <c:v>-12.5</c:v>
                </c:pt>
                <c:pt idx="15">
                  <c:v>87.5</c:v>
                </c:pt>
                <c:pt idx="16">
                  <c:v>89</c:v>
                </c:pt>
                <c:pt idx="17">
                  <c:v>178</c:v>
                </c:pt>
                <c:pt idx="18">
                  <c:v>178</c:v>
                </c:pt>
                <c:pt idx="19">
                  <c:v>178</c:v>
                </c:pt>
                <c:pt idx="20">
                  <c:v>178</c:v>
                </c:pt>
                <c:pt idx="21">
                  <c:v>178</c:v>
                </c:pt>
                <c:pt idx="22">
                  <c:v>178</c:v>
                </c:pt>
                <c:pt idx="23">
                  <c:v>183</c:v>
                </c:pt>
                <c:pt idx="24">
                  <c:v>183</c:v>
                </c:pt>
                <c:pt idx="25">
                  <c:v>198.5</c:v>
                </c:pt>
                <c:pt idx="26">
                  <c:v>200</c:v>
                </c:pt>
                <c:pt idx="27">
                  <c:v>200</c:v>
                </c:pt>
                <c:pt idx="28">
                  <c:v>381</c:v>
                </c:pt>
                <c:pt idx="29">
                  <c:v>392</c:v>
                </c:pt>
                <c:pt idx="30">
                  <c:v>401</c:v>
                </c:pt>
                <c:pt idx="31">
                  <c:v>405.5</c:v>
                </c:pt>
                <c:pt idx="32">
                  <c:v>409</c:v>
                </c:pt>
                <c:pt idx="33">
                  <c:v>410.5</c:v>
                </c:pt>
                <c:pt idx="34">
                  <c:v>425</c:v>
                </c:pt>
                <c:pt idx="35">
                  <c:v>477</c:v>
                </c:pt>
                <c:pt idx="36">
                  <c:v>495.5</c:v>
                </c:pt>
                <c:pt idx="37">
                  <c:v>507</c:v>
                </c:pt>
                <c:pt idx="38">
                  <c:v>507</c:v>
                </c:pt>
                <c:pt idx="39">
                  <c:v>507</c:v>
                </c:pt>
                <c:pt idx="40">
                  <c:v>1559.5</c:v>
                </c:pt>
                <c:pt idx="41">
                  <c:v>1563</c:v>
                </c:pt>
                <c:pt idx="42">
                  <c:v>1670.5</c:v>
                </c:pt>
                <c:pt idx="43">
                  <c:v>1672</c:v>
                </c:pt>
                <c:pt idx="44">
                  <c:v>1879.5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  <c:pt idx="1">
                  <c:v>0.21774000000004889</c:v>
                </c:pt>
                <c:pt idx="3">
                  <c:v>-8.0400000006193295E-3</c:v>
                </c:pt>
                <c:pt idx="4">
                  <c:v>2.4000000048545189E-3</c:v>
                </c:pt>
                <c:pt idx="5">
                  <c:v>0.14746000000741333</c:v>
                </c:pt>
                <c:pt idx="6">
                  <c:v>0.11854000000312226</c:v>
                </c:pt>
                <c:pt idx="7">
                  <c:v>3.9600000018253922E-3</c:v>
                </c:pt>
                <c:pt idx="8">
                  <c:v>3.9999999717110768E-4</c:v>
                </c:pt>
                <c:pt idx="9">
                  <c:v>2.3999999975785613E-3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24-41F1-9F3D-23D8C1EFEA2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-1762</c:v>
                </c:pt>
                <c:pt idx="1">
                  <c:v>-1660.5</c:v>
                </c:pt>
                <c:pt idx="2">
                  <c:v>-1658</c:v>
                </c:pt>
                <c:pt idx="3">
                  <c:v>-1067</c:v>
                </c:pt>
                <c:pt idx="4">
                  <c:v>-980</c:v>
                </c:pt>
                <c:pt idx="5">
                  <c:v>-979.5</c:v>
                </c:pt>
                <c:pt idx="6">
                  <c:v>-970.5</c:v>
                </c:pt>
                <c:pt idx="7">
                  <c:v>-967</c:v>
                </c:pt>
                <c:pt idx="8">
                  <c:v>-880</c:v>
                </c:pt>
                <c:pt idx="9">
                  <c:v>-880</c:v>
                </c:pt>
                <c:pt idx="10">
                  <c:v>-660</c:v>
                </c:pt>
                <c:pt idx="11">
                  <c:v>-430</c:v>
                </c:pt>
                <c:pt idx="12">
                  <c:v>-29</c:v>
                </c:pt>
                <c:pt idx="13">
                  <c:v>-21.5</c:v>
                </c:pt>
                <c:pt idx="14">
                  <c:v>-12.5</c:v>
                </c:pt>
                <c:pt idx="15">
                  <c:v>87.5</c:v>
                </c:pt>
                <c:pt idx="16">
                  <c:v>89</c:v>
                </c:pt>
                <c:pt idx="17">
                  <c:v>178</c:v>
                </c:pt>
                <c:pt idx="18">
                  <c:v>178</c:v>
                </c:pt>
                <c:pt idx="19">
                  <c:v>178</c:v>
                </c:pt>
                <c:pt idx="20">
                  <c:v>178</c:v>
                </c:pt>
                <c:pt idx="21">
                  <c:v>178</c:v>
                </c:pt>
                <c:pt idx="22">
                  <c:v>178</c:v>
                </c:pt>
                <c:pt idx="23">
                  <c:v>183</c:v>
                </c:pt>
                <c:pt idx="24">
                  <c:v>183</c:v>
                </c:pt>
                <c:pt idx="25">
                  <c:v>198.5</c:v>
                </c:pt>
                <c:pt idx="26">
                  <c:v>200</c:v>
                </c:pt>
                <c:pt idx="27">
                  <c:v>200</c:v>
                </c:pt>
                <c:pt idx="28">
                  <c:v>381</c:v>
                </c:pt>
                <c:pt idx="29">
                  <c:v>392</c:v>
                </c:pt>
                <c:pt idx="30">
                  <c:v>401</c:v>
                </c:pt>
                <c:pt idx="31">
                  <c:v>405.5</c:v>
                </c:pt>
                <c:pt idx="32">
                  <c:v>409</c:v>
                </c:pt>
                <c:pt idx="33">
                  <c:v>410.5</c:v>
                </c:pt>
                <c:pt idx="34">
                  <c:v>425</c:v>
                </c:pt>
                <c:pt idx="35">
                  <c:v>477</c:v>
                </c:pt>
                <c:pt idx="36">
                  <c:v>495.5</c:v>
                </c:pt>
                <c:pt idx="37">
                  <c:v>507</c:v>
                </c:pt>
                <c:pt idx="38">
                  <c:v>507</c:v>
                </c:pt>
                <c:pt idx="39">
                  <c:v>507</c:v>
                </c:pt>
                <c:pt idx="40">
                  <c:v>1559.5</c:v>
                </c:pt>
                <c:pt idx="41">
                  <c:v>1563</c:v>
                </c:pt>
                <c:pt idx="42">
                  <c:v>1670.5</c:v>
                </c:pt>
                <c:pt idx="43">
                  <c:v>1672</c:v>
                </c:pt>
                <c:pt idx="44">
                  <c:v>1879.5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24-41F1-9F3D-23D8C1EFEA2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-1762</c:v>
                </c:pt>
                <c:pt idx="1">
                  <c:v>-1660.5</c:v>
                </c:pt>
                <c:pt idx="2">
                  <c:v>-1658</c:v>
                </c:pt>
                <c:pt idx="3">
                  <c:v>-1067</c:v>
                </c:pt>
                <c:pt idx="4">
                  <c:v>-980</c:v>
                </c:pt>
                <c:pt idx="5">
                  <c:v>-979.5</c:v>
                </c:pt>
                <c:pt idx="6">
                  <c:v>-970.5</c:v>
                </c:pt>
                <c:pt idx="7">
                  <c:v>-967</c:v>
                </c:pt>
                <c:pt idx="8">
                  <c:v>-880</c:v>
                </c:pt>
                <c:pt idx="9">
                  <c:v>-880</c:v>
                </c:pt>
                <c:pt idx="10">
                  <c:v>-660</c:v>
                </c:pt>
                <c:pt idx="11">
                  <c:v>-430</c:v>
                </c:pt>
                <c:pt idx="12">
                  <c:v>-29</c:v>
                </c:pt>
                <c:pt idx="13">
                  <c:v>-21.5</c:v>
                </c:pt>
                <c:pt idx="14">
                  <c:v>-12.5</c:v>
                </c:pt>
                <c:pt idx="15">
                  <c:v>87.5</c:v>
                </c:pt>
                <c:pt idx="16">
                  <c:v>89</c:v>
                </c:pt>
                <c:pt idx="17">
                  <c:v>178</c:v>
                </c:pt>
                <c:pt idx="18">
                  <c:v>178</c:v>
                </c:pt>
                <c:pt idx="19">
                  <c:v>178</c:v>
                </c:pt>
                <c:pt idx="20">
                  <c:v>178</c:v>
                </c:pt>
                <c:pt idx="21">
                  <c:v>178</c:v>
                </c:pt>
                <c:pt idx="22">
                  <c:v>178</c:v>
                </c:pt>
                <c:pt idx="23">
                  <c:v>183</c:v>
                </c:pt>
                <c:pt idx="24">
                  <c:v>183</c:v>
                </c:pt>
                <c:pt idx="25">
                  <c:v>198.5</c:v>
                </c:pt>
                <c:pt idx="26">
                  <c:v>200</c:v>
                </c:pt>
                <c:pt idx="27">
                  <c:v>200</c:v>
                </c:pt>
                <c:pt idx="28">
                  <c:v>381</c:v>
                </c:pt>
                <c:pt idx="29">
                  <c:v>392</c:v>
                </c:pt>
                <c:pt idx="30">
                  <c:v>401</c:v>
                </c:pt>
                <c:pt idx="31">
                  <c:v>405.5</c:v>
                </c:pt>
                <c:pt idx="32">
                  <c:v>409</c:v>
                </c:pt>
                <c:pt idx="33">
                  <c:v>410.5</c:v>
                </c:pt>
                <c:pt idx="34">
                  <c:v>425</c:v>
                </c:pt>
                <c:pt idx="35">
                  <c:v>477</c:v>
                </c:pt>
                <c:pt idx="36">
                  <c:v>495.5</c:v>
                </c:pt>
                <c:pt idx="37">
                  <c:v>507</c:v>
                </c:pt>
                <c:pt idx="38">
                  <c:v>507</c:v>
                </c:pt>
                <c:pt idx="39">
                  <c:v>507</c:v>
                </c:pt>
                <c:pt idx="40">
                  <c:v>1559.5</c:v>
                </c:pt>
                <c:pt idx="41">
                  <c:v>1563</c:v>
                </c:pt>
                <c:pt idx="42">
                  <c:v>1670.5</c:v>
                </c:pt>
                <c:pt idx="43">
                  <c:v>1672</c:v>
                </c:pt>
                <c:pt idx="44">
                  <c:v>1879.5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24-41F1-9F3D-23D8C1EFEA2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-1762</c:v>
                </c:pt>
                <c:pt idx="1">
                  <c:v>-1660.5</c:v>
                </c:pt>
                <c:pt idx="2">
                  <c:v>-1658</c:v>
                </c:pt>
                <c:pt idx="3">
                  <c:v>-1067</c:v>
                </c:pt>
                <c:pt idx="4">
                  <c:v>-980</c:v>
                </c:pt>
                <c:pt idx="5">
                  <c:v>-979.5</c:v>
                </c:pt>
                <c:pt idx="6">
                  <c:v>-970.5</c:v>
                </c:pt>
                <c:pt idx="7">
                  <c:v>-967</c:v>
                </c:pt>
                <c:pt idx="8">
                  <c:v>-880</c:v>
                </c:pt>
                <c:pt idx="9">
                  <c:v>-880</c:v>
                </c:pt>
                <c:pt idx="10">
                  <c:v>-660</c:v>
                </c:pt>
                <c:pt idx="11">
                  <c:v>-430</c:v>
                </c:pt>
                <c:pt idx="12">
                  <c:v>-29</c:v>
                </c:pt>
                <c:pt idx="13">
                  <c:v>-21.5</c:v>
                </c:pt>
                <c:pt idx="14">
                  <c:v>-12.5</c:v>
                </c:pt>
                <c:pt idx="15">
                  <c:v>87.5</c:v>
                </c:pt>
                <c:pt idx="16">
                  <c:v>89</c:v>
                </c:pt>
                <c:pt idx="17">
                  <c:v>178</c:v>
                </c:pt>
                <c:pt idx="18">
                  <c:v>178</c:v>
                </c:pt>
                <c:pt idx="19">
                  <c:v>178</c:v>
                </c:pt>
                <c:pt idx="20">
                  <c:v>178</c:v>
                </c:pt>
                <c:pt idx="21">
                  <c:v>178</c:v>
                </c:pt>
                <c:pt idx="22">
                  <c:v>178</c:v>
                </c:pt>
                <c:pt idx="23">
                  <c:v>183</c:v>
                </c:pt>
                <c:pt idx="24">
                  <c:v>183</c:v>
                </c:pt>
                <c:pt idx="25">
                  <c:v>198.5</c:v>
                </c:pt>
                <c:pt idx="26">
                  <c:v>200</c:v>
                </c:pt>
                <c:pt idx="27">
                  <c:v>200</c:v>
                </c:pt>
                <c:pt idx="28">
                  <c:v>381</c:v>
                </c:pt>
                <c:pt idx="29">
                  <c:v>392</c:v>
                </c:pt>
                <c:pt idx="30">
                  <c:v>401</c:v>
                </c:pt>
                <c:pt idx="31">
                  <c:v>405.5</c:v>
                </c:pt>
                <c:pt idx="32">
                  <c:v>409</c:v>
                </c:pt>
                <c:pt idx="33">
                  <c:v>410.5</c:v>
                </c:pt>
                <c:pt idx="34">
                  <c:v>425</c:v>
                </c:pt>
                <c:pt idx="35">
                  <c:v>477</c:v>
                </c:pt>
                <c:pt idx="36">
                  <c:v>495.5</c:v>
                </c:pt>
                <c:pt idx="37">
                  <c:v>507</c:v>
                </c:pt>
                <c:pt idx="38">
                  <c:v>507</c:v>
                </c:pt>
                <c:pt idx="39">
                  <c:v>507</c:v>
                </c:pt>
                <c:pt idx="40">
                  <c:v>1559.5</c:v>
                </c:pt>
                <c:pt idx="41">
                  <c:v>1563</c:v>
                </c:pt>
                <c:pt idx="42">
                  <c:v>1670.5</c:v>
                </c:pt>
                <c:pt idx="43">
                  <c:v>1672</c:v>
                </c:pt>
                <c:pt idx="44">
                  <c:v>1879.5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24-41F1-9F3D-23D8C1EFEA23}"/>
            </c:ext>
          </c:extLst>
        </c:ser>
        <c:ser>
          <c:idx val="8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-1762</c:v>
                </c:pt>
                <c:pt idx="1">
                  <c:v>-1660.5</c:v>
                </c:pt>
                <c:pt idx="2">
                  <c:v>-1658</c:v>
                </c:pt>
                <c:pt idx="3">
                  <c:v>-1067</c:v>
                </c:pt>
                <c:pt idx="4">
                  <c:v>-980</c:v>
                </c:pt>
                <c:pt idx="5">
                  <c:v>-979.5</c:v>
                </c:pt>
                <c:pt idx="6">
                  <c:v>-970.5</c:v>
                </c:pt>
                <c:pt idx="7">
                  <c:v>-967</c:v>
                </c:pt>
                <c:pt idx="8">
                  <c:v>-880</c:v>
                </c:pt>
                <c:pt idx="9">
                  <c:v>-880</c:v>
                </c:pt>
                <c:pt idx="10">
                  <c:v>-660</c:v>
                </c:pt>
                <c:pt idx="11">
                  <c:v>-430</c:v>
                </c:pt>
                <c:pt idx="12">
                  <c:v>-29</c:v>
                </c:pt>
                <c:pt idx="13">
                  <c:v>-21.5</c:v>
                </c:pt>
                <c:pt idx="14">
                  <c:v>-12.5</c:v>
                </c:pt>
                <c:pt idx="15">
                  <c:v>87.5</c:v>
                </c:pt>
                <c:pt idx="16">
                  <c:v>89</c:v>
                </c:pt>
                <c:pt idx="17">
                  <c:v>178</c:v>
                </c:pt>
                <c:pt idx="18">
                  <c:v>178</c:v>
                </c:pt>
                <c:pt idx="19">
                  <c:v>178</c:v>
                </c:pt>
                <c:pt idx="20">
                  <c:v>178</c:v>
                </c:pt>
                <c:pt idx="21">
                  <c:v>178</c:v>
                </c:pt>
                <c:pt idx="22">
                  <c:v>178</c:v>
                </c:pt>
                <c:pt idx="23">
                  <c:v>183</c:v>
                </c:pt>
                <c:pt idx="24">
                  <c:v>183</c:v>
                </c:pt>
                <c:pt idx="25">
                  <c:v>198.5</c:v>
                </c:pt>
                <c:pt idx="26">
                  <c:v>200</c:v>
                </c:pt>
                <c:pt idx="27">
                  <c:v>200</c:v>
                </c:pt>
                <c:pt idx="28">
                  <c:v>381</c:v>
                </c:pt>
                <c:pt idx="29">
                  <c:v>392</c:v>
                </c:pt>
                <c:pt idx="30">
                  <c:v>401</c:v>
                </c:pt>
                <c:pt idx="31">
                  <c:v>405.5</c:v>
                </c:pt>
                <c:pt idx="32">
                  <c:v>409</c:v>
                </c:pt>
                <c:pt idx="33">
                  <c:v>410.5</c:v>
                </c:pt>
                <c:pt idx="34">
                  <c:v>425</c:v>
                </c:pt>
                <c:pt idx="35">
                  <c:v>477</c:v>
                </c:pt>
                <c:pt idx="36">
                  <c:v>495.5</c:v>
                </c:pt>
                <c:pt idx="37">
                  <c:v>507</c:v>
                </c:pt>
                <c:pt idx="38">
                  <c:v>507</c:v>
                </c:pt>
                <c:pt idx="39">
                  <c:v>507</c:v>
                </c:pt>
                <c:pt idx="40">
                  <c:v>1559.5</c:v>
                </c:pt>
                <c:pt idx="41">
                  <c:v>1563</c:v>
                </c:pt>
                <c:pt idx="42">
                  <c:v>1670.5</c:v>
                </c:pt>
                <c:pt idx="43">
                  <c:v>1672</c:v>
                </c:pt>
                <c:pt idx="44">
                  <c:v>1879.5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-4.5285359239750729E-3</c:v>
                </c:pt>
                <c:pt idx="1">
                  <c:v>-4.4785986006597948E-3</c:v>
                </c:pt>
                <c:pt idx="2">
                  <c:v>-4.4773686173269064E-3</c:v>
                </c:pt>
                <c:pt idx="3">
                  <c:v>-4.1866005574320402E-3</c:v>
                </c:pt>
                <c:pt idx="4">
                  <c:v>-4.1437971374475163E-3</c:v>
                </c:pt>
                <c:pt idx="5">
                  <c:v>-4.1435511407809395E-3</c:v>
                </c:pt>
                <c:pt idx="6">
                  <c:v>-4.1391232007825397E-3</c:v>
                </c:pt>
                <c:pt idx="7">
                  <c:v>-4.1374012241164959E-3</c:v>
                </c:pt>
                <c:pt idx="8">
                  <c:v>-4.094597804131973E-3</c:v>
                </c:pt>
                <c:pt idx="9">
                  <c:v>-4.094597804131973E-3</c:v>
                </c:pt>
                <c:pt idx="10">
                  <c:v>-3.986359270837775E-3</c:v>
                </c:pt>
                <c:pt idx="11">
                  <c:v>-3.8732008042120236E-3</c:v>
                </c:pt>
                <c:pt idx="12">
                  <c:v>-3.675911477616691E-3</c:v>
                </c:pt>
                <c:pt idx="13">
                  <c:v>-3.6722215276180255E-3</c:v>
                </c:pt>
                <c:pt idx="14">
                  <c:v>-3.6677935876196265E-3</c:v>
                </c:pt>
                <c:pt idx="15">
                  <c:v>-3.6185942543040823E-3</c:v>
                </c:pt>
                <c:pt idx="16">
                  <c:v>-3.6178562643043488E-3</c:v>
                </c:pt>
                <c:pt idx="17">
                  <c:v>-3.5740688576535147E-3</c:v>
                </c:pt>
                <c:pt idx="18">
                  <c:v>-3.5740688576535147E-3</c:v>
                </c:pt>
                <c:pt idx="19">
                  <c:v>-3.5740688576535147E-3</c:v>
                </c:pt>
                <c:pt idx="20">
                  <c:v>-3.5740688576535147E-3</c:v>
                </c:pt>
                <c:pt idx="21">
                  <c:v>-3.5740688576535147E-3</c:v>
                </c:pt>
                <c:pt idx="22">
                  <c:v>-3.5740688576535147E-3</c:v>
                </c:pt>
                <c:pt idx="23">
                  <c:v>-3.5716088909877376E-3</c:v>
                </c:pt>
                <c:pt idx="24">
                  <c:v>-3.5716088909877376E-3</c:v>
                </c:pt>
                <c:pt idx="25">
                  <c:v>-3.563982994323828E-3</c:v>
                </c:pt>
                <c:pt idx="26">
                  <c:v>-3.5632450043240949E-3</c:v>
                </c:pt>
                <c:pt idx="27">
                  <c:v>-3.5632450043240949E-3</c:v>
                </c:pt>
                <c:pt idx="28">
                  <c:v>-3.4741942110229599E-3</c:v>
                </c:pt>
                <c:pt idx="29">
                  <c:v>-3.4687822843582502E-3</c:v>
                </c:pt>
                <c:pt idx="30">
                  <c:v>-3.4643543443598512E-3</c:v>
                </c:pt>
                <c:pt idx="31">
                  <c:v>-3.4621403743606517E-3</c:v>
                </c:pt>
                <c:pt idx="32">
                  <c:v>-3.4604183976946075E-3</c:v>
                </c:pt>
                <c:pt idx="33">
                  <c:v>-3.4596804076948741E-3</c:v>
                </c:pt>
                <c:pt idx="34">
                  <c:v>-3.4525465043641203E-3</c:v>
                </c:pt>
                <c:pt idx="35">
                  <c:v>-3.4269628510400375E-3</c:v>
                </c:pt>
                <c:pt idx="36">
                  <c:v>-3.4178609743766618E-3</c:v>
                </c:pt>
                <c:pt idx="37">
                  <c:v>-3.412203051045374E-3</c:v>
                </c:pt>
                <c:pt idx="38">
                  <c:v>-3.412203051045374E-3</c:v>
                </c:pt>
                <c:pt idx="39">
                  <c:v>-3.412203051045374E-3</c:v>
                </c:pt>
                <c:pt idx="40">
                  <c:v>-2.8943800678992711E-3</c:v>
                </c:pt>
                <c:pt idx="41">
                  <c:v>-2.8926580912332269E-3</c:v>
                </c:pt>
                <c:pt idx="42">
                  <c:v>-2.8397688079190172E-3</c:v>
                </c:pt>
                <c:pt idx="43">
                  <c:v>-2.8390308179192837E-3</c:v>
                </c:pt>
                <c:pt idx="44">
                  <c:v>-2.7369422012895298E-3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224-41F1-9F3D-23D8C1EFEA23}"/>
            </c:ext>
          </c:extLst>
        </c:ser>
        <c:ser>
          <c:idx val="9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-1762</c:v>
                </c:pt>
                <c:pt idx="1">
                  <c:v>-1660.5</c:v>
                </c:pt>
                <c:pt idx="2">
                  <c:v>-1658</c:v>
                </c:pt>
                <c:pt idx="3">
                  <c:v>-1067</c:v>
                </c:pt>
                <c:pt idx="4">
                  <c:v>-980</c:v>
                </c:pt>
                <c:pt idx="5">
                  <c:v>-979.5</c:v>
                </c:pt>
                <c:pt idx="6">
                  <c:v>-970.5</c:v>
                </c:pt>
                <c:pt idx="7">
                  <c:v>-967</c:v>
                </c:pt>
                <c:pt idx="8">
                  <c:v>-880</c:v>
                </c:pt>
                <c:pt idx="9">
                  <c:v>-880</c:v>
                </c:pt>
                <c:pt idx="10">
                  <c:v>-660</c:v>
                </c:pt>
                <c:pt idx="11">
                  <c:v>-430</c:v>
                </c:pt>
                <c:pt idx="12">
                  <c:v>-29</c:v>
                </c:pt>
                <c:pt idx="13">
                  <c:v>-21.5</c:v>
                </c:pt>
                <c:pt idx="14">
                  <c:v>-12.5</c:v>
                </c:pt>
                <c:pt idx="15">
                  <c:v>87.5</c:v>
                </c:pt>
                <c:pt idx="16">
                  <c:v>89</c:v>
                </c:pt>
                <c:pt idx="17">
                  <c:v>178</c:v>
                </c:pt>
                <c:pt idx="18">
                  <c:v>178</c:v>
                </c:pt>
                <c:pt idx="19">
                  <c:v>178</c:v>
                </c:pt>
                <c:pt idx="20">
                  <c:v>178</c:v>
                </c:pt>
                <c:pt idx="21">
                  <c:v>178</c:v>
                </c:pt>
                <c:pt idx="22">
                  <c:v>178</c:v>
                </c:pt>
                <c:pt idx="23">
                  <c:v>183</c:v>
                </c:pt>
                <c:pt idx="24">
                  <c:v>183</c:v>
                </c:pt>
                <c:pt idx="25">
                  <c:v>198.5</c:v>
                </c:pt>
                <c:pt idx="26">
                  <c:v>200</c:v>
                </c:pt>
                <c:pt idx="27">
                  <c:v>200</c:v>
                </c:pt>
                <c:pt idx="28">
                  <c:v>381</c:v>
                </c:pt>
                <c:pt idx="29">
                  <c:v>392</c:v>
                </c:pt>
                <c:pt idx="30">
                  <c:v>401</c:v>
                </c:pt>
                <c:pt idx="31">
                  <c:v>405.5</c:v>
                </c:pt>
                <c:pt idx="32">
                  <c:v>409</c:v>
                </c:pt>
                <c:pt idx="33">
                  <c:v>410.5</c:v>
                </c:pt>
                <c:pt idx="34">
                  <c:v>425</c:v>
                </c:pt>
                <c:pt idx="35">
                  <c:v>477</c:v>
                </c:pt>
                <c:pt idx="36">
                  <c:v>495.5</c:v>
                </c:pt>
                <c:pt idx="37">
                  <c:v>507</c:v>
                </c:pt>
                <c:pt idx="38">
                  <c:v>507</c:v>
                </c:pt>
                <c:pt idx="39">
                  <c:v>507</c:v>
                </c:pt>
                <c:pt idx="40">
                  <c:v>1559.5</c:v>
                </c:pt>
                <c:pt idx="41">
                  <c:v>1563</c:v>
                </c:pt>
                <c:pt idx="42">
                  <c:v>1670.5</c:v>
                </c:pt>
                <c:pt idx="43">
                  <c:v>1672</c:v>
                </c:pt>
                <c:pt idx="44">
                  <c:v>1879.5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0.16947720032075814</c:v>
                </c:pt>
                <c:pt idx="1">
                  <c:v>0.16766204096112206</c:v>
                </c:pt>
                <c:pt idx="2">
                  <c:v>0.16761733260251033</c:v>
                </c:pt>
                <c:pt idx="3">
                  <c:v>0.15704827662669832</c:v>
                </c:pt>
                <c:pt idx="4">
                  <c:v>0.15549242574701028</c:v>
                </c:pt>
                <c:pt idx="5">
                  <c:v>0.15548348407528792</c:v>
                </c:pt>
                <c:pt idx="6">
                  <c:v>0.15532253398428569</c:v>
                </c:pt>
                <c:pt idx="7">
                  <c:v>0.15525994228222928</c:v>
                </c:pt>
                <c:pt idx="8">
                  <c:v>0.15370409140254124</c:v>
                </c:pt>
                <c:pt idx="9">
                  <c:v>0.15370409140254124</c:v>
                </c:pt>
                <c:pt idx="10">
                  <c:v>0.14976975584470936</c:v>
                </c:pt>
                <c:pt idx="11">
                  <c:v>0.14565658685243058</c:v>
                </c:pt>
                <c:pt idx="12">
                  <c:v>0.13848536613110973</c:v>
                </c:pt>
                <c:pt idx="13">
                  <c:v>0.13835124105527455</c:v>
                </c:pt>
                <c:pt idx="14">
                  <c:v>0.13819029096427235</c:v>
                </c:pt>
                <c:pt idx="15">
                  <c:v>0.13640195661980331</c:v>
                </c:pt>
                <c:pt idx="16">
                  <c:v>0.13637513160463627</c:v>
                </c:pt>
                <c:pt idx="17">
                  <c:v>0.13478351403805883</c:v>
                </c:pt>
                <c:pt idx="18">
                  <c:v>0.13478351403805883</c:v>
                </c:pt>
                <c:pt idx="19">
                  <c:v>0.13478351403805883</c:v>
                </c:pt>
                <c:pt idx="20">
                  <c:v>0.13478351403805883</c:v>
                </c:pt>
                <c:pt idx="21">
                  <c:v>0.13478351403805883</c:v>
                </c:pt>
                <c:pt idx="22">
                  <c:v>0.13478351403805883</c:v>
                </c:pt>
                <c:pt idx="23">
                  <c:v>0.13469409732083537</c:v>
                </c:pt>
                <c:pt idx="24">
                  <c:v>0.13469409732083537</c:v>
                </c:pt>
                <c:pt idx="25">
                  <c:v>0.13441690549744267</c:v>
                </c:pt>
                <c:pt idx="26">
                  <c:v>0.13439008048227563</c:v>
                </c:pt>
                <c:pt idx="27">
                  <c:v>0.13439008048227563</c:v>
                </c:pt>
                <c:pt idx="28">
                  <c:v>0.13115319531878669</c:v>
                </c:pt>
                <c:pt idx="29">
                  <c:v>0.13095647854089509</c:v>
                </c:pt>
                <c:pt idx="30">
                  <c:v>0.13079552844989287</c:v>
                </c:pt>
                <c:pt idx="31">
                  <c:v>0.13071505340439177</c:v>
                </c:pt>
                <c:pt idx="32">
                  <c:v>0.13065246170233535</c:v>
                </c:pt>
                <c:pt idx="33">
                  <c:v>0.13062563668716831</c:v>
                </c:pt>
                <c:pt idx="34">
                  <c:v>0.1303663282072203</c:v>
                </c:pt>
                <c:pt idx="35">
                  <c:v>0.1294363943480964</c:v>
                </c:pt>
                <c:pt idx="36">
                  <c:v>0.12910555249436964</c:v>
                </c:pt>
                <c:pt idx="37">
                  <c:v>0.12889989404475569</c:v>
                </c:pt>
                <c:pt idx="38">
                  <c:v>0.12889989404475569</c:v>
                </c:pt>
                <c:pt idx="39">
                  <c:v>0.12889989404475569</c:v>
                </c:pt>
                <c:pt idx="40">
                  <c:v>0.11007767506921909</c:v>
                </c:pt>
                <c:pt idx="41">
                  <c:v>0.11001508336716267</c:v>
                </c:pt>
                <c:pt idx="42">
                  <c:v>0.10809262394685845</c:v>
                </c:pt>
                <c:pt idx="43">
                  <c:v>0.10806579893169142</c:v>
                </c:pt>
                <c:pt idx="44">
                  <c:v>0.10435500516691817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224-41F1-9F3D-23D8C1EFEA23}"/>
            </c:ext>
          </c:extLst>
        </c:ser>
        <c:ser>
          <c:idx val="7"/>
          <c:order val="9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-1762</c:v>
                </c:pt>
                <c:pt idx="1">
                  <c:v>-1660.5</c:v>
                </c:pt>
                <c:pt idx="2">
                  <c:v>-1658</c:v>
                </c:pt>
                <c:pt idx="3">
                  <c:v>-1067</c:v>
                </c:pt>
                <c:pt idx="4">
                  <c:v>-980</c:v>
                </c:pt>
                <c:pt idx="5">
                  <c:v>-979.5</c:v>
                </c:pt>
                <c:pt idx="6">
                  <c:v>-970.5</c:v>
                </c:pt>
                <c:pt idx="7">
                  <c:v>-967</c:v>
                </c:pt>
                <c:pt idx="8">
                  <c:v>-880</c:v>
                </c:pt>
                <c:pt idx="9">
                  <c:v>-880</c:v>
                </c:pt>
                <c:pt idx="10">
                  <c:v>-660</c:v>
                </c:pt>
                <c:pt idx="11">
                  <c:v>-430</c:v>
                </c:pt>
                <c:pt idx="12">
                  <c:v>-29</c:v>
                </c:pt>
                <c:pt idx="13">
                  <c:v>-21.5</c:v>
                </c:pt>
                <c:pt idx="14">
                  <c:v>-12.5</c:v>
                </c:pt>
                <c:pt idx="15">
                  <c:v>87.5</c:v>
                </c:pt>
                <c:pt idx="16">
                  <c:v>89</c:v>
                </c:pt>
                <c:pt idx="17">
                  <c:v>178</c:v>
                </c:pt>
                <c:pt idx="18">
                  <c:v>178</c:v>
                </c:pt>
                <c:pt idx="19">
                  <c:v>178</c:v>
                </c:pt>
                <c:pt idx="20">
                  <c:v>178</c:v>
                </c:pt>
                <c:pt idx="21">
                  <c:v>178</c:v>
                </c:pt>
                <c:pt idx="22">
                  <c:v>178</c:v>
                </c:pt>
                <c:pt idx="23">
                  <c:v>183</c:v>
                </c:pt>
                <c:pt idx="24">
                  <c:v>183</c:v>
                </c:pt>
                <c:pt idx="25">
                  <c:v>198.5</c:v>
                </c:pt>
                <c:pt idx="26">
                  <c:v>200</c:v>
                </c:pt>
                <c:pt idx="27">
                  <c:v>200</c:v>
                </c:pt>
                <c:pt idx="28">
                  <c:v>381</c:v>
                </c:pt>
                <c:pt idx="29">
                  <c:v>392</c:v>
                </c:pt>
                <c:pt idx="30">
                  <c:v>401</c:v>
                </c:pt>
                <c:pt idx="31">
                  <c:v>405.5</c:v>
                </c:pt>
                <c:pt idx="32">
                  <c:v>409</c:v>
                </c:pt>
                <c:pt idx="33">
                  <c:v>410.5</c:v>
                </c:pt>
                <c:pt idx="34">
                  <c:v>425</c:v>
                </c:pt>
                <c:pt idx="35">
                  <c:v>477</c:v>
                </c:pt>
                <c:pt idx="36">
                  <c:v>495.5</c:v>
                </c:pt>
                <c:pt idx="37">
                  <c:v>507</c:v>
                </c:pt>
                <c:pt idx="38">
                  <c:v>507</c:v>
                </c:pt>
                <c:pt idx="39">
                  <c:v>507</c:v>
                </c:pt>
                <c:pt idx="40">
                  <c:v>1559.5</c:v>
                </c:pt>
                <c:pt idx="41">
                  <c:v>1563</c:v>
                </c:pt>
                <c:pt idx="42">
                  <c:v>1670.5</c:v>
                </c:pt>
                <c:pt idx="43">
                  <c:v>1672</c:v>
                </c:pt>
                <c:pt idx="44">
                  <c:v>1879.5</c:v>
                </c:pt>
              </c:numCache>
            </c:numRef>
          </c:xVal>
          <c:yVal>
            <c:numRef>
              <c:f>'Active 1'!$U$21:$U$921</c:f>
              <c:numCache>
                <c:formatCode>General</c:formatCode>
                <c:ptCount val="901"/>
                <c:pt idx="0">
                  <c:v>0.40856000000349013</c:v>
                </c:pt>
                <c:pt idx="2">
                  <c:v>0.39403999999922235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224-41F1-9F3D-23D8C1EFE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98776"/>
        <c:axId val="1"/>
      </c:scatterChart>
      <c:valAx>
        <c:axId val="728498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98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4193548387096774E-2"/>
          <c:y val="0.92097264437689974"/>
          <c:w val="0.96935483870967742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V335 Ser - Prim. O-C Diagr.</a:t>
            </a:r>
          </a:p>
        </c:rich>
      </c:tx>
      <c:layout>
        <c:manualLayout>
          <c:xMode val="edge"/>
          <c:yMode val="edge"/>
          <c:x val="0.2848235030912196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299453753830881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-1762</c:v>
                </c:pt>
                <c:pt idx="1">
                  <c:v>-1660.5</c:v>
                </c:pt>
                <c:pt idx="2">
                  <c:v>-1658</c:v>
                </c:pt>
                <c:pt idx="3">
                  <c:v>-1067</c:v>
                </c:pt>
                <c:pt idx="4">
                  <c:v>-980</c:v>
                </c:pt>
                <c:pt idx="5">
                  <c:v>-979.5</c:v>
                </c:pt>
                <c:pt idx="6">
                  <c:v>-970.5</c:v>
                </c:pt>
                <c:pt idx="7">
                  <c:v>-967</c:v>
                </c:pt>
                <c:pt idx="8">
                  <c:v>-880</c:v>
                </c:pt>
                <c:pt idx="9">
                  <c:v>-880</c:v>
                </c:pt>
                <c:pt idx="10">
                  <c:v>-660</c:v>
                </c:pt>
                <c:pt idx="11">
                  <c:v>-430</c:v>
                </c:pt>
                <c:pt idx="12">
                  <c:v>-29</c:v>
                </c:pt>
                <c:pt idx="13">
                  <c:v>-21.5</c:v>
                </c:pt>
                <c:pt idx="14">
                  <c:v>-12.5</c:v>
                </c:pt>
                <c:pt idx="15">
                  <c:v>87.5</c:v>
                </c:pt>
                <c:pt idx="16">
                  <c:v>89</c:v>
                </c:pt>
                <c:pt idx="17">
                  <c:v>178</c:v>
                </c:pt>
                <c:pt idx="18">
                  <c:v>178</c:v>
                </c:pt>
                <c:pt idx="19">
                  <c:v>178</c:v>
                </c:pt>
                <c:pt idx="20">
                  <c:v>178</c:v>
                </c:pt>
                <c:pt idx="21">
                  <c:v>178</c:v>
                </c:pt>
                <c:pt idx="22">
                  <c:v>178</c:v>
                </c:pt>
                <c:pt idx="23">
                  <c:v>183</c:v>
                </c:pt>
                <c:pt idx="24">
                  <c:v>183</c:v>
                </c:pt>
                <c:pt idx="25">
                  <c:v>198.5</c:v>
                </c:pt>
                <c:pt idx="26">
                  <c:v>200</c:v>
                </c:pt>
                <c:pt idx="27">
                  <c:v>200</c:v>
                </c:pt>
                <c:pt idx="28">
                  <c:v>381</c:v>
                </c:pt>
                <c:pt idx="29">
                  <c:v>392</c:v>
                </c:pt>
                <c:pt idx="30">
                  <c:v>401</c:v>
                </c:pt>
                <c:pt idx="31">
                  <c:v>405.5</c:v>
                </c:pt>
                <c:pt idx="32">
                  <c:v>409</c:v>
                </c:pt>
                <c:pt idx="33">
                  <c:v>410.5</c:v>
                </c:pt>
                <c:pt idx="34">
                  <c:v>425</c:v>
                </c:pt>
                <c:pt idx="35">
                  <c:v>477</c:v>
                </c:pt>
                <c:pt idx="36">
                  <c:v>495.5</c:v>
                </c:pt>
                <c:pt idx="37">
                  <c:v>507</c:v>
                </c:pt>
                <c:pt idx="38">
                  <c:v>507</c:v>
                </c:pt>
                <c:pt idx="39">
                  <c:v>507</c:v>
                </c:pt>
                <c:pt idx="40">
                  <c:v>1559.5</c:v>
                </c:pt>
                <c:pt idx="41">
                  <c:v>1563</c:v>
                </c:pt>
                <c:pt idx="42">
                  <c:v>1670.5</c:v>
                </c:pt>
                <c:pt idx="43">
                  <c:v>1672</c:v>
                </c:pt>
                <c:pt idx="44">
                  <c:v>1879.5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3">
                  <c:v>-8.0400000006193295E-3</c:v>
                </c:pt>
                <c:pt idx="4">
                  <c:v>2.4000000048545189E-3</c:v>
                </c:pt>
                <c:pt idx="7">
                  <c:v>3.9600000018253922E-3</c:v>
                </c:pt>
                <c:pt idx="8">
                  <c:v>3.9999999717110768E-4</c:v>
                </c:pt>
                <c:pt idx="9">
                  <c:v>2.3999999975785613E-3</c:v>
                </c:pt>
                <c:pt idx="10">
                  <c:v>-9.7999999998137355E-3</c:v>
                </c:pt>
                <c:pt idx="11">
                  <c:v>-1.2899999994260725E-2</c:v>
                </c:pt>
                <c:pt idx="12">
                  <c:v>-5.8799999969778582E-3</c:v>
                </c:pt>
                <c:pt idx="16">
                  <c:v>-5.5199999987962656E-3</c:v>
                </c:pt>
                <c:pt idx="17">
                  <c:v>-5.4399999935412779E-3</c:v>
                </c:pt>
                <c:pt idx="18">
                  <c:v>-5.3599999955622479E-3</c:v>
                </c:pt>
                <c:pt idx="19">
                  <c:v>-4.8399999941466376E-3</c:v>
                </c:pt>
                <c:pt idx="20">
                  <c:v>-4.7500000000582077E-3</c:v>
                </c:pt>
                <c:pt idx="21">
                  <c:v>-3.9399999950546771E-3</c:v>
                </c:pt>
                <c:pt idx="22">
                  <c:v>-3.8799999965704046E-3</c:v>
                </c:pt>
                <c:pt idx="23">
                  <c:v>-4.9399999988963827E-3</c:v>
                </c:pt>
                <c:pt idx="24">
                  <c:v>-4.8399999941466376E-3</c:v>
                </c:pt>
                <c:pt idx="26">
                  <c:v>-4.3000000005122274E-3</c:v>
                </c:pt>
                <c:pt idx="27">
                  <c:v>-4.3000000005122274E-3</c:v>
                </c:pt>
                <c:pt idx="28">
                  <c:v>-4.7800000029383227E-3</c:v>
                </c:pt>
                <c:pt idx="29">
                  <c:v>-3.9599999945494346E-3</c:v>
                </c:pt>
                <c:pt idx="30">
                  <c:v>-4.2799999937415123E-3</c:v>
                </c:pt>
                <c:pt idx="32">
                  <c:v>-2.9199999989941716E-3</c:v>
                </c:pt>
                <c:pt idx="34">
                  <c:v>-3.8999999960651621E-3</c:v>
                </c:pt>
                <c:pt idx="35">
                  <c:v>-3.0599999954574741E-3</c:v>
                </c:pt>
                <c:pt idx="37">
                  <c:v>-3.0899999983375892E-3</c:v>
                </c:pt>
                <c:pt idx="38">
                  <c:v>-2.9900000008638017E-3</c:v>
                </c:pt>
                <c:pt idx="39">
                  <c:v>-2.8900000033900142E-3</c:v>
                </c:pt>
                <c:pt idx="41">
                  <c:v>2.5599999280530028E-3</c:v>
                </c:pt>
                <c:pt idx="43">
                  <c:v>6.4000007841968909E-4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74-4F18-AEE1-5F86BD355A6A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-1762</c:v>
                </c:pt>
                <c:pt idx="1">
                  <c:v>-1660.5</c:v>
                </c:pt>
                <c:pt idx="2">
                  <c:v>-1658</c:v>
                </c:pt>
                <c:pt idx="3">
                  <c:v>-1067</c:v>
                </c:pt>
                <c:pt idx="4">
                  <c:v>-980</c:v>
                </c:pt>
                <c:pt idx="5">
                  <c:v>-979.5</c:v>
                </c:pt>
                <c:pt idx="6">
                  <c:v>-970.5</c:v>
                </c:pt>
                <c:pt idx="7">
                  <c:v>-967</c:v>
                </c:pt>
                <c:pt idx="8">
                  <c:v>-880</c:v>
                </c:pt>
                <c:pt idx="9">
                  <c:v>-880</c:v>
                </c:pt>
                <c:pt idx="10">
                  <c:v>-660</c:v>
                </c:pt>
                <c:pt idx="11">
                  <c:v>-430</c:v>
                </c:pt>
                <c:pt idx="12">
                  <c:v>-29</c:v>
                </c:pt>
                <c:pt idx="13">
                  <c:v>-21.5</c:v>
                </c:pt>
                <c:pt idx="14">
                  <c:v>-12.5</c:v>
                </c:pt>
                <c:pt idx="15">
                  <c:v>87.5</c:v>
                </c:pt>
                <c:pt idx="16">
                  <c:v>89</c:v>
                </c:pt>
                <c:pt idx="17">
                  <c:v>178</c:v>
                </c:pt>
                <c:pt idx="18">
                  <c:v>178</c:v>
                </c:pt>
                <c:pt idx="19">
                  <c:v>178</c:v>
                </c:pt>
                <c:pt idx="20">
                  <c:v>178</c:v>
                </c:pt>
                <c:pt idx="21">
                  <c:v>178</c:v>
                </c:pt>
                <c:pt idx="22">
                  <c:v>178</c:v>
                </c:pt>
                <c:pt idx="23">
                  <c:v>183</c:v>
                </c:pt>
                <c:pt idx="24">
                  <c:v>183</c:v>
                </c:pt>
                <c:pt idx="25">
                  <c:v>198.5</c:v>
                </c:pt>
                <c:pt idx="26">
                  <c:v>200</c:v>
                </c:pt>
                <c:pt idx="27">
                  <c:v>200</c:v>
                </c:pt>
                <c:pt idx="28">
                  <c:v>381</c:v>
                </c:pt>
                <c:pt idx="29">
                  <c:v>392</c:v>
                </c:pt>
                <c:pt idx="30">
                  <c:v>401</c:v>
                </c:pt>
                <c:pt idx="31">
                  <c:v>405.5</c:v>
                </c:pt>
                <c:pt idx="32">
                  <c:v>409</c:v>
                </c:pt>
                <c:pt idx="33">
                  <c:v>410.5</c:v>
                </c:pt>
                <c:pt idx="34">
                  <c:v>425</c:v>
                </c:pt>
                <c:pt idx="35">
                  <c:v>477</c:v>
                </c:pt>
                <c:pt idx="36">
                  <c:v>495.5</c:v>
                </c:pt>
                <c:pt idx="37">
                  <c:v>507</c:v>
                </c:pt>
                <c:pt idx="38">
                  <c:v>507</c:v>
                </c:pt>
                <c:pt idx="39">
                  <c:v>507</c:v>
                </c:pt>
                <c:pt idx="40">
                  <c:v>1559.5</c:v>
                </c:pt>
                <c:pt idx="41">
                  <c:v>1563</c:v>
                </c:pt>
                <c:pt idx="42">
                  <c:v>1670.5</c:v>
                </c:pt>
                <c:pt idx="43">
                  <c:v>1672</c:v>
                </c:pt>
                <c:pt idx="44">
                  <c:v>1879.5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-4.5285359239750729E-3</c:v>
                </c:pt>
                <c:pt idx="1">
                  <c:v>-4.4785986006597948E-3</c:v>
                </c:pt>
                <c:pt idx="2">
                  <c:v>-4.4773686173269064E-3</c:v>
                </c:pt>
                <c:pt idx="3">
                  <c:v>-4.1866005574320402E-3</c:v>
                </c:pt>
                <c:pt idx="4">
                  <c:v>-4.1437971374475163E-3</c:v>
                </c:pt>
                <c:pt idx="5">
                  <c:v>-4.1435511407809395E-3</c:v>
                </c:pt>
                <c:pt idx="6">
                  <c:v>-4.1391232007825397E-3</c:v>
                </c:pt>
                <c:pt idx="7">
                  <c:v>-4.1374012241164959E-3</c:v>
                </c:pt>
                <c:pt idx="8">
                  <c:v>-4.094597804131973E-3</c:v>
                </c:pt>
                <c:pt idx="9">
                  <c:v>-4.094597804131973E-3</c:v>
                </c:pt>
                <c:pt idx="10">
                  <c:v>-3.986359270837775E-3</c:v>
                </c:pt>
                <c:pt idx="11">
                  <c:v>-3.8732008042120236E-3</c:v>
                </c:pt>
                <c:pt idx="12">
                  <c:v>-3.675911477616691E-3</c:v>
                </c:pt>
                <c:pt idx="13">
                  <c:v>-3.6722215276180255E-3</c:v>
                </c:pt>
                <c:pt idx="14">
                  <c:v>-3.6677935876196265E-3</c:v>
                </c:pt>
                <c:pt idx="15">
                  <c:v>-3.6185942543040823E-3</c:v>
                </c:pt>
                <c:pt idx="16">
                  <c:v>-3.6178562643043488E-3</c:v>
                </c:pt>
                <c:pt idx="17">
                  <c:v>-3.5740688576535147E-3</c:v>
                </c:pt>
                <c:pt idx="18">
                  <c:v>-3.5740688576535147E-3</c:v>
                </c:pt>
                <c:pt idx="19">
                  <c:v>-3.5740688576535147E-3</c:v>
                </c:pt>
                <c:pt idx="20">
                  <c:v>-3.5740688576535147E-3</c:v>
                </c:pt>
                <c:pt idx="21">
                  <c:v>-3.5740688576535147E-3</c:v>
                </c:pt>
                <c:pt idx="22">
                  <c:v>-3.5740688576535147E-3</c:v>
                </c:pt>
                <c:pt idx="23">
                  <c:v>-3.5716088909877376E-3</c:v>
                </c:pt>
                <c:pt idx="24">
                  <c:v>-3.5716088909877376E-3</c:v>
                </c:pt>
                <c:pt idx="25">
                  <c:v>-3.563982994323828E-3</c:v>
                </c:pt>
                <c:pt idx="26">
                  <c:v>-3.5632450043240949E-3</c:v>
                </c:pt>
                <c:pt idx="27">
                  <c:v>-3.5632450043240949E-3</c:v>
                </c:pt>
                <c:pt idx="28">
                  <c:v>-3.4741942110229599E-3</c:v>
                </c:pt>
                <c:pt idx="29">
                  <c:v>-3.4687822843582502E-3</c:v>
                </c:pt>
                <c:pt idx="30">
                  <c:v>-3.4643543443598512E-3</c:v>
                </c:pt>
                <c:pt idx="31">
                  <c:v>-3.4621403743606517E-3</c:v>
                </c:pt>
                <c:pt idx="32">
                  <c:v>-3.4604183976946075E-3</c:v>
                </c:pt>
                <c:pt idx="33">
                  <c:v>-3.4596804076948741E-3</c:v>
                </c:pt>
                <c:pt idx="34">
                  <c:v>-3.4525465043641203E-3</c:v>
                </c:pt>
                <c:pt idx="35">
                  <c:v>-3.4269628510400375E-3</c:v>
                </c:pt>
                <c:pt idx="36">
                  <c:v>-3.4178609743766618E-3</c:v>
                </c:pt>
                <c:pt idx="37">
                  <c:v>-3.412203051045374E-3</c:v>
                </c:pt>
                <c:pt idx="38">
                  <c:v>-3.412203051045374E-3</c:v>
                </c:pt>
                <c:pt idx="39">
                  <c:v>-3.412203051045374E-3</c:v>
                </c:pt>
                <c:pt idx="40">
                  <c:v>-2.8943800678992711E-3</c:v>
                </c:pt>
                <c:pt idx="41">
                  <c:v>-2.8926580912332269E-3</c:v>
                </c:pt>
                <c:pt idx="42">
                  <c:v>-2.8397688079190172E-3</c:v>
                </c:pt>
                <c:pt idx="43">
                  <c:v>-2.8390308179192837E-3</c:v>
                </c:pt>
                <c:pt idx="44">
                  <c:v>-2.7369422012895298E-3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74-4F18-AEE1-5F86BD355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99104"/>
        <c:axId val="1"/>
      </c:scatterChart>
      <c:valAx>
        <c:axId val="728499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879625233955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99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748484402027707"/>
          <c:y val="0.92073298764483702"/>
          <c:w val="0.30353452180223839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V335 Ser - Sec. O-C Diagr.</a:t>
            </a:r>
          </a:p>
        </c:rich>
      </c:tx>
      <c:layout>
        <c:manualLayout>
          <c:xMode val="edge"/>
          <c:yMode val="edge"/>
          <c:x val="0.29387776527934006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26546881523918"/>
          <c:y val="0.1458966565349544"/>
          <c:w val="0.77551097687238613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-1762</c:v>
                </c:pt>
                <c:pt idx="1">
                  <c:v>-1660.5</c:v>
                </c:pt>
                <c:pt idx="2">
                  <c:v>-1658</c:v>
                </c:pt>
                <c:pt idx="3">
                  <c:v>-1067</c:v>
                </c:pt>
                <c:pt idx="4">
                  <c:v>-980</c:v>
                </c:pt>
                <c:pt idx="5">
                  <c:v>-979.5</c:v>
                </c:pt>
                <c:pt idx="6">
                  <c:v>-970.5</c:v>
                </c:pt>
                <c:pt idx="7">
                  <c:v>-967</c:v>
                </c:pt>
                <c:pt idx="8">
                  <c:v>-880</c:v>
                </c:pt>
                <c:pt idx="9">
                  <c:v>-880</c:v>
                </c:pt>
                <c:pt idx="10">
                  <c:v>-660</c:v>
                </c:pt>
                <c:pt idx="11">
                  <c:v>-430</c:v>
                </c:pt>
                <c:pt idx="12">
                  <c:v>-29</c:v>
                </c:pt>
                <c:pt idx="13">
                  <c:v>-21.5</c:v>
                </c:pt>
                <c:pt idx="14">
                  <c:v>-12.5</c:v>
                </c:pt>
                <c:pt idx="15">
                  <c:v>87.5</c:v>
                </c:pt>
                <c:pt idx="16">
                  <c:v>89</c:v>
                </c:pt>
                <c:pt idx="17">
                  <c:v>178</c:v>
                </c:pt>
                <c:pt idx="18">
                  <c:v>178</c:v>
                </c:pt>
                <c:pt idx="19">
                  <c:v>178</c:v>
                </c:pt>
                <c:pt idx="20">
                  <c:v>178</c:v>
                </c:pt>
                <c:pt idx="21">
                  <c:v>178</c:v>
                </c:pt>
                <c:pt idx="22">
                  <c:v>178</c:v>
                </c:pt>
                <c:pt idx="23">
                  <c:v>183</c:v>
                </c:pt>
                <c:pt idx="24">
                  <c:v>183</c:v>
                </c:pt>
                <c:pt idx="25">
                  <c:v>198.5</c:v>
                </c:pt>
                <c:pt idx="26">
                  <c:v>200</c:v>
                </c:pt>
                <c:pt idx="27">
                  <c:v>200</c:v>
                </c:pt>
                <c:pt idx="28">
                  <c:v>381</c:v>
                </c:pt>
                <c:pt idx="29">
                  <c:v>392</c:v>
                </c:pt>
                <c:pt idx="30">
                  <c:v>401</c:v>
                </c:pt>
                <c:pt idx="31">
                  <c:v>405.5</c:v>
                </c:pt>
                <c:pt idx="32">
                  <c:v>409</c:v>
                </c:pt>
                <c:pt idx="33">
                  <c:v>410.5</c:v>
                </c:pt>
                <c:pt idx="34">
                  <c:v>425</c:v>
                </c:pt>
                <c:pt idx="35">
                  <c:v>477</c:v>
                </c:pt>
                <c:pt idx="36">
                  <c:v>495.5</c:v>
                </c:pt>
                <c:pt idx="37">
                  <c:v>507</c:v>
                </c:pt>
                <c:pt idx="38">
                  <c:v>507</c:v>
                </c:pt>
                <c:pt idx="39">
                  <c:v>507</c:v>
                </c:pt>
                <c:pt idx="40">
                  <c:v>1559.5</c:v>
                </c:pt>
                <c:pt idx="41">
                  <c:v>1563</c:v>
                </c:pt>
                <c:pt idx="42">
                  <c:v>1670.5</c:v>
                </c:pt>
                <c:pt idx="43">
                  <c:v>1672</c:v>
                </c:pt>
                <c:pt idx="44">
                  <c:v>1879.5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1">
                  <c:v>0.21774000000004889</c:v>
                </c:pt>
                <c:pt idx="5">
                  <c:v>0.14746000000741333</c:v>
                </c:pt>
                <c:pt idx="6">
                  <c:v>0.11854000000312226</c:v>
                </c:pt>
                <c:pt idx="13">
                  <c:v>0.13152000000263797</c:v>
                </c:pt>
                <c:pt idx="14">
                  <c:v>0.13100000000122236</c:v>
                </c:pt>
                <c:pt idx="15">
                  <c:v>0.13049999999930151</c:v>
                </c:pt>
                <c:pt idx="25">
                  <c:v>0.13431999999738764</c:v>
                </c:pt>
                <c:pt idx="31">
                  <c:v>0.13066000000253553</c:v>
                </c:pt>
                <c:pt idx="33">
                  <c:v>0.12326000000030035</c:v>
                </c:pt>
                <c:pt idx="36">
                  <c:v>0.12565999999787891</c:v>
                </c:pt>
                <c:pt idx="40">
                  <c:v>0.11814000012964243</c:v>
                </c:pt>
                <c:pt idx="42">
                  <c:v>0.11245999999664491</c:v>
                </c:pt>
                <c:pt idx="44">
                  <c:v>0.11753999978827778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4A-4AFF-8862-B0D9F7ECC9CC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-1762</c:v>
                </c:pt>
                <c:pt idx="1">
                  <c:v>-1660.5</c:v>
                </c:pt>
                <c:pt idx="2">
                  <c:v>-1658</c:v>
                </c:pt>
                <c:pt idx="3">
                  <c:v>-1067</c:v>
                </c:pt>
                <c:pt idx="4">
                  <c:v>-980</c:v>
                </c:pt>
                <c:pt idx="5">
                  <c:v>-979.5</c:v>
                </c:pt>
                <c:pt idx="6">
                  <c:v>-970.5</c:v>
                </c:pt>
                <c:pt idx="7">
                  <c:v>-967</c:v>
                </c:pt>
                <c:pt idx="8">
                  <c:v>-880</c:v>
                </c:pt>
                <c:pt idx="9">
                  <c:v>-880</c:v>
                </c:pt>
                <c:pt idx="10">
                  <c:v>-660</c:v>
                </c:pt>
                <c:pt idx="11">
                  <c:v>-430</c:v>
                </c:pt>
                <c:pt idx="12">
                  <c:v>-29</c:v>
                </c:pt>
                <c:pt idx="13">
                  <c:v>-21.5</c:v>
                </c:pt>
                <c:pt idx="14">
                  <c:v>-12.5</c:v>
                </c:pt>
                <c:pt idx="15">
                  <c:v>87.5</c:v>
                </c:pt>
                <c:pt idx="16">
                  <c:v>89</c:v>
                </c:pt>
                <c:pt idx="17">
                  <c:v>178</c:v>
                </c:pt>
                <c:pt idx="18">
                  <c:v>178</c:v>
                </c:pt>
                <c:pt idx="19">
                  <c:v>178</c:v>
                </c:pt>
                <c:pt idx="20">
                  <c:v>178</c:v>
                </c:pt>
                <c:pt idx="21">
                  <c:v>178</c:v>
                </c:pt>
                <c:pt idx="22">
                  <c:v>178</c:v>
                </c:pt>
                <c:pt idx="23">
                  <c:v>183</c:v>
                </c:pt>
                <c:pt idx="24">
                  <c:v>183</c:v>
                </c:pt>
                <c:pt idx="25">
                  <c:v>198.5</c:v>
                </c:pt>
                <c:pt idx="26">
                  <c:v>200</c:v>
                </c:pt>
                <c:pt idx="27">
                  <c:v>200</c:v>
                </c:pt>
                <c:pt idx="28">
                  <c:v>381</c:v>
                </c:pt>
                <c:pt idx="29">
                  <c:v>392</c:v>
                </c:pt>
                <c:pt idx="30">
                  <c:v>401</c:v>
                </c:pt>
                <c:pt idx="31">
                  <c:v>405.5</c:v>
                </c:pt>
                <c:pt idx="32">
                  <c:v>409</c:v>
                </c:pt>
                <c:pt idx="33">
                  <c:v>410.5</c:v>
                </c:pt>
                <c:pt idx="34">
                  <c:v>425</c:v>
                </c:pt>
                <c:pt idx="35">
                  <c:v>477</c:v>
                </c:pt>
                <c:pt idx="36">
                  <c:v>495.5</c:v>
                </c:pt>
                <c:pt idx="37">
                  <c:v>507</c:v>
                </c:pt>
                <c:pt idx="38">
                  <c:v>507</c:v>
                </c:pt>
                <c:pt idx="39">
                  <c:v>507</c:v>
                </c:pt>
                <c:pt idx="40">
                  <c:v>1559.5</c:v>
                </c:pt>
                <c:pt idx="41">
                  <c:v>1563</c:v>
                </c:pt>
                <c:pt idx="42">
                  <c:v>1670.5</c:v>
                </c:pt>
                <c:pt idx="43">
                  <c:v>1672</c:v>
                </c:pt>
                <c:pt idx="44">
                  <c:v>1879.5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0.16947720032075814</c:v>
                </c:pt>
                <c:pt idx="1">
                  <c:v>0.16766204096112206</c:v>
                </c:pt>
                <c:pt idx="2">
                  <c:v>0.16761733260251033</c:v>
                </c:pt>
                <c:pt idx="3">
                  <c:v>0.15704827662669832</c:v>
                </c:pt>
                <c:pt idx="4">
                  <c:v>0.15549242574701028</c:v>
                </c:pt>
                <c:pt idx="5">
                  <c:v>0.15548348407528792</c:v>
                </c:pt>
                <c:pt idx="6">
                  <c:v>0.15532253398428569</c:v>
                </c:pt>
                <c:pt idx="7">
                  <c:v>0.15525994228222928</c:v>
                </c:pt>
                <c:pt idx="8">
                  <c:v>0.15370409140254124</c:v>
                </c:pt>
                <c:pt idx="9">
                  <c:v>0.15370409140254124</c:v>
                </c:pt>
                <c:pt idx="10">
                  <c:v>0.14976975584470936</c:v>
                </c:pt>
                <c:pt idx="11">
                  <c:v>0.14565658685243058</c:v>
                </c:pt>
                <c:pt idx="12">
                  <c:v>0.13848536613110973</c:v>
                </c:pt>
                <c:pt idx="13">
                  <c:v>0.13835124105527455</c:v>
                </c:pt>
                <c:pt idx="14">
                  <c:v>0.13819029096427235</c:v>
                </c:pt>
                <c:pt idx="15">
                  <c:v>0.13640195661980331</c:v>
                </c:pt>
                <c:pt idx="16">
                  <c:v>0.13637513160463627</c:v>
                </c:pt>
                <c:pt idx="17">
                  <c:v>0.13478351403805883</c:v>
                </c:pt>
                <c:pt idx="18">
                  <c:v>0.13478351403805883</c:v>
                </c:pt>
                <c:pt idx="19">
                  <c:v>0.13478351403805883</c:v>
                </c:pt>
                <c:pt idx="20">
                  <c:v>0.13478351403805883</c:v>
                </c:pt>
                <c:pt idx="21">
                  <c:v>0.13478351403805883</c:v>
                </c:pt>
                <c:pt idx="22">
                  <c:v>0.13478351403805883</c:v>
                </c:pt>
                <c:pt idx="23">
                  <c:v>0.13469409732083537</c:v>
                </c:pt>
                <c:pt idx="24">
                  <c:v>0.13469409732083537</c:v>
                </c:pt>
                <c:pt idx="25">
                  <c:v>0.13441690549744267</c:v>
                </c:pt>
                <c:pt idx="26">
                  <c:v>0.13439008048227563</c:v>
                </c:pt>
                <c:pt idx="27">
                  <c:v>0.13439008048227563</c:v>
                </c:pt>
                <c:pt idx="28">
                  <c:v>0.13115319531878669</c:v>
                </c:pt>
                <c:pt idx="29">
                  <c:v>0.13095647854089509</c:v>
                </c:pt>
                <c:pt idx="30">
                  <c:v>0.13079552844989287</c:v>
                </c:pt>
                <c:pt idx="31">
                  <c:v>0.13071505340439177</c:v>
                </c:pt>
                <c:pt idx="32">
                  <c:v>0.13065246170233535</c:v>
                </c:pt>
                <c:pt idx="33">
                  <c:v>0.13062563668716831</c:v>
                </c:pt>
                <c:pt idx="34">
                  <c:v>0.1303663282072203</c:v>
                </c:pt>
                <c:pt idx="35">
                  <c:v>0.1294363943480964</c:v>
                </c:pt>
                <c:pt idx="36">
                  <c:v>0.12910555249436964</c:v>
                </c:pt>
                <c:pt idx="37">
                  <c:v>0.12889989404475569</c:v>
                </c:pt>
                <c:pt idx="38">
                  <c:v>0.12889989404475569</c:v>
                </c:pt>
                <c:pt idx="39">
                  <c:v>0.12889989404475569</c:v>
                </c:pt>
                <c:pt idx="40">
                  <c:v>0.11007767506921909</c:v>
                </c:pt>
                <c:pt idx="41">
                  <c:v>0.11001508336716267</c:v>
                </c:pt>
                <c:pt idx="42">
                  <c:v>0.10809262394685845</c:v>
                </c:pt>
                <c:pt idx="43">
                  <c:v>0.10806579893169142</c:v>
                </c:pt>
                <c:pt idx="44">
                  <c:v>0.10435500516691817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4A-4AFF-8862-B0D9F7ECC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508616"/>
        <c:axId val="1"/>
      </c:scatterChart>
      <c:valAx>
        <c:axId val="728508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494081097005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508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571471423214954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19</xdr:col>
      <xdr:colOff>285750</xdr:colOff>
      <xdr:row>18</xdr:row>
      <xdr:rowOff>9525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50AA2AA2-FC96-00BB-0FFE-0ED8C4E94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314325</xdr:colOff>
      <xdr:row>20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C2D2C5-2AFC-8B7B-64B2-4EF81C4873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123825</xdr:rowOff>
    </xdr:from>
    <xdr:to>
      <xdr:col>11</xdr:col>
      <xdr:colOff>371474</xdr:colOff>
      <xdr:row>40</xdr:row>
      <xdr:rowOff>114300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D61CE638-6A0E-EC95-75E6-1FB72953BD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07" TargetMode="External"/><Relationship Id="rId13" Type="http://schemas.openxmlformats.org/officeDocument/2006/relationships/hyperlink" Target="http://www.konkoly.hu/cgi-bin/IBVS?5978" TargetMode="External"/><Relationship Id="rId18" Type="http://schemas.openxmlformats.org/officeDocument/2006/relationships/hyperlink" Target="http://var.astro.cz/oejv/issues/oejv0094.pdf" TargetMode="External"/><Relationship Id="rId26" Type="http://schemas.openxmlformats.org/officeDocument/2006/relationships/hyperlink" Target="http://www.konkoly.hu/cgi-bin/IBVS?5972" TargetMode="External"/><Relationship Id="rId3" Type="http://schemas.openxmlformats.org/officeDocument/2006/relationships/hyperlink" Target="http://www.konkoly.hu/cgi-bin/IBVS?4536" TargetMode="External"/><Relationship Id="rId21" Type="http://schemas.openxmlformats.org/officeDocument/2006/relationships/hyperlink" Target="http://www.konkoly.hu/cgi-bin/IBVS?5910" TargetMode="External"/><Relationship Id="rId34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bav-astro.de/sfs/BAVM_link.php?BAVMnr=107" TargetMode="External"/><Relationship Id="rId12" Type="http://schemas.openxmlformats.org/officeDocument/2006/relationships/hyperlink" Target="http://www.konkoly.hu/cgi-bin/IBVS?5978" TargetMode="External"/><Relationship Id="rId17" Type="http://schemas.openxmlformats.org/officeDocument/2006/relationships/hyperlink" Target="http://var.astro.cz/oejv/issues/oejv0094.pdf" TargetMode="External"/><Relationship Id="rId25" Type="http://schemas.openxmlformats.org/officeDocument/2006/relationships/hyperlink" Target="http://www.konkoly.hu/cgi-bin/IBVS?5972" TargetMode="External"/><Relationship Id="rId33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4536" TargetMode="External"/><Relationship Id="rId16" Type="http://schemas.openxmlformats.org/officeDocument/2006/relationships/hyperlink" Target="http://www.konkoly.hu/cgi-bin/IBVS?5978" TargetMode="External"/><Relationship Id="rId20" Type="http://schemas.openxmlformats.org/officeDocument/2006/relationships/hyperlink" Target="http://www.konkoly.hu/cgi-bin/IBVS?5910" TargetMode="External"/><Relationship Id="rId29" Type="http://schemas.openxmlformats.org/officeDocument/2006/relationships/hyperlink" Target="http://www.konkoly.hu/cgi-bin/IBVS?5972" TargetMode="External"/><Relationship Id="rId1" Type="http://schemas.openxmlformats.org/officeDocument/2006/relationships/hyperlink" Target="http://www.konkoly.hu/cgi-bin/IBVS?4536" TargetMode="External"/><Relationship Id="rId6" Type="http://schemas.openxmlformats.org/officeDocument/2006/relationships/hyperlink" Target="http://www.bav-astro.de/sfs/BAVM_link.php?BAVMnr=107" TargetMode="External"/><Relationship Id="rId11" Type="http://schemas.openxmlformats.org/officeDocument/2006/relationships/hyperlink" Target="http://www.bav-astro.de/sfs/BAVM_link.php?BAVMnr=152" TargetMode="External"/><Relationship Id="rId24" Type="http://schemas.openxmlformats.org/officeDocument/2006/relationships/hyperlink" Target="http://www.konkoly.hu/cgi-bin/IBVS?5972" TargetMode="External"/><Relationship Id="rId32" Type="http://schemas.openxmlformats.org/officeDocument/2006/relationships/hyperlink" Target="http://www.konkoly.hu/cgi-bin/IBVS?6014" TargetMode="External"/><Relationship Id="rId5" Type="http://schemas.openxmlformats.org/officeDocument/2006/relationships/hyperlink" Target="http://www.bav-astro.de/sfs/BAVM_link.php?BAVMnr=107" TargetMode="External"/><Relationship Id="rId15" Type="http://schemas.openxmlformats.org/officeDocument/2006/relationships/hyperlink" Target="http://www.konkoly.hu/cgi-bin/IBVS?5978" TargetMode="External"/><Relationship Id="rId23" Type="http://schemas.openxmlformats.org/officeDocument/2006/relationships/hyperlink" Target="http://www.konkoly.hu/cgi-bin/IBVS?5978" TargetMode="External"/><Relationship Id="rId28" Type="http://schemas.openxmlformats.org/officeDocument/2006/relationships/hyperlink" Target="http://www.konkoly.hu/cgi-bin/IBVS?5978" TargetMode="External"/><Relationship Id="rId10" Type="http://schemas.openxmlformats.org/officeDocument/2006/relationships/hyperlink" Target="http://www.bav-astro.de/sfs/BAVM_link.php?BAVMnr=113" TargetMode="External"/><Relationship Id="rId19" Type="http://schemas.openxmlformats.org/officeDocument/2006/relationships/hyperlink" Target="http://var.astro.cz/oejv/issues/oejv0094.pdf" TargetMode="External"/><Relationship Id="rId31" Type="http://schemas.openxmlformats.org/officeDocument/2006/relationships/hyperlink" Target="http://www.konkoly.hu/cgi-bin/IBVS?6014" TargetMode="External"/><Relationship Id="rId4" Type="http://schemas.openxmlformats.org/officeDocument/2006/relationships/hyperlink" Target="http://www.bav-astro.de/sfs/BAVM_link.php?BAVMnr=107" TargetMode="External"/><Relationship Id="rId9" Type="http://schemas.openxmlformats.org/officeDocument/2006/relationships/hyperlink" Target="http://www.bav-astro.de/sfs/BAVM_link.php?BAVMnr=131" TargetMode="External"/><Relationship Id="rId14" Type="http://schemas.openxmlformats.org/officeDocument/2006/relationships/hyperlink" Target="http://www.konkoly.hu/cgi-bin/IBVS?5978" TargetMode="External"/><Relationship Id="rId22" Type="http://schemas.openxmlformats.org/officeDocument/2006/relationships/hyperlink" Target="http://www.konkoly.hu/cgi-bin/IBVS?5978" TargetMode="External"/><Relationship Id="rId27" Type="http://schemas.openxmlformats.org/officeDocument/2006/relationships/hyperlink" Target="http://www.konkoly.hu/cgi-bin/IBVS?5978" TargetMode="External"/><Relationship Id="rId30" Type="http://schemas.openxmlformats.org/officeDocument/2006/relationships/hyperlink" Target="http://www.konkoly.hu/cgi-bin/IBVS?5972" TargetMode="External"/><Relationship Id="rId35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2"/>
  <sheetViews>
    <sheetView tabSelected="1" workbookViewId="0">
      <pane xSplit="14" ySplit="22" topLeftCell="O5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2.28515625" customWidth="1"/>
    <col min="4" max="4" width="8.28515625" customWidth="1"/>
    <col min="5" max="5" width="11.42578125" customWidth="1"/>
    <col min="6" max="6" width="17.1406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38" customFormat="1" ht="20.25" x14ac:dyDescent="0.2">
      <c r="A1" s="62" t="s">
        <v>35</v>
      </c>
    </row>
    <row r="2" spans="1:6" s="38" customFormat="1" ht="12.95" customHeight="1" x14ac:dyDescent="0.2">
      <c r="A2" s="38" t="s">
        <v>15</v>
      </c>
      <c r="B2" s="38" t="s">
        <v>38</v>
      </c>
      <c r="C2" s="39"/>
      <c r="D2" s="39"/>
    </row>
    <row r="3" spans="1:6" s="38" customFormat="1" ht="12.95" customHeight="1" thickBot="1" x14ac:dyDescent="0.25"/>
    <row r="4" spans="1:6" s="38" customFormat="1" ht="12.95" customHeight="1" thickTop="1" thickBot="1" x14ac:dyDescent="0.25">
      <c r="A4" s="40" t="s">
        <v>36</v>
      </c>
      <c r="C4" s="41">
        <v>52501.918700000002</v>
      </c>
      <c r="D4" s="42">
        <v>3.449859</v>
      </c>
      <c r="E4" s="43" t="s">
        <v>37</v>
      </c>
    </row>
    <row r="5" spans="1:6" s="38" customFormat="1" ht="12.95" customHeight="1" thickTop="1" x14ac:dyDescent="0.2">
      <c r="A5" s="44" t="s">
        <v>29</v>
      </c>
      <c r="C5" s="45">
        <v>-9.5</v>
      </c>
      <c r="D5" s="38" t="s">
        <v>30</v>
      </c>
    </row>
    <row r="6" spans="1:6" s="38" customFormat="1" ht="12.95" customHeight="1" x14ac:dyDescent="0.2">
      <c r="A6" s="40" t="s">
        <v>0</v>
      </c>
    </row>
    <row r="7" spans="1:6" s="38" customFormat="1" ht="12.95" customHeight="1" x14ac:dyDescent="0.2">
      <c r="A7" s="38" t="s">
        <v>1</v>
      </c>
      <c r="C7" s="38">
        <v>53985.38</v>
      </c>
      <c r="D7" s="81" t="s">
        <v>191</v>
      </c>
    </row>
    <row r="8" spans="1:6" s="38" customFormat="1" ht="12.95" customHeight="1" x14ac:dyDescent="0.2">
      <c r="A8" s="38" t="s">
        <v>2</v>
      </c>
      <c r="C8" s="38">
        <v>3.4498799999999998</v>
      </c>
      <c r="D8" s="45" t="s">
        <v>191</v>
      </c>
    </row>
    <row r="9" spans="1:6" s="38" customFormat="1" ht="12.95" customHeight="1" x14ac:dyDescent="0.2">
      <c r="A9" s="46" t="s">
        <v>26</v>
      </c>
      <c r="B9" s="46"/>
      <c r="C9" s="47">
        <v>21</v>
      </c>
      <c r="D9" s="47">
        <v>21</v>
      </c>
    </row>
    <row r="10" spans="1:6" s="38" customFormat="1" ht="12.95" customHeight="1" thickBot="1" x14ac:dyDescent="0.25">
      <c r="C10" s="48" t="s">
        <v>17</v>
      </c>
      <c r="D10" s="48" t="s">
        <v>18</v>
      </c>
      <c r="E10" s="77" t="s">
        <v>187</v>
      </c>
      <c r="F10" s="80" t="s">
        <v>190</v>
      </c>
    </row>
    <row r="11" spans="1:6" s="38" customFormat="1" ht="12.95" customHeight="1" x14ac:dyDescent="0.2">
      <c r="A11" s="38" t="s">
        <v>12</v>
      </c>
      <c r="C11" s="49">
        <f ca="1">INTERCEPT(INDIRECT(C14):R$935,INDIRECT(C13):$F$935)</f>
        <v>-3.6616436709551834E-3</v>
      </c>
      <c r="D11" s="49">
        <f ca="1">INTERCEPT(INDIRECT(D14):S$935,INDIRECT(D13):$F$935)</f>
        <v>0.13796674917121371</v>
      </c>
      <c r="E11" s="75" t="s">
        <v>31</v>
      </c>
      <c r="F11" s="78">
        <v>1</v>
      </c>
    </row>
    <row r="12" spans="1:6" s="38" customFormat="1" ht="12.95" customHeight="1" x14ac:dyDescent="0.2">
      <c r="A12" s="38" t="s">
        <v>13</v>
      </c>
      <c r="C12" s="49">
        <f ca="1">SLOPE(INDIRECT(C14):R$935,INDIRECT(C13):$F$935)</f>
        <v>4.9199333315544227E-7</v>
      </c>
      <c r="D12" s="49">
        <f ca="1">SLOPE(INDIRECT(D14):S$935,INDIRECT(D13):$F$935)</f>
        <v>-1.7883343444690362E-5</v>
      </c>
      <c r="E12" s="75" t="s">
        <v>32</v>
      </c>
      <c r="F12" s="72">
        <f ca="1">NOW()+15018.5+$C$5/24</f>
        <v>60683.768366087963</v>
      </c>
    </row>
    <row r="13" spans="1:6" s="38" customFormat="1" ht="12.95" customHeight="1" x14ac:dyDescent="0.2">
      <c r="A13" s="46" t="s">
        <v>27</v>
      </c>
      <c r="B13" s="46"/>
      <c r="C13" s="47" t="str">
        <f>"F"&amp;C9</f>
        <v>F21</v>
      </c>
      <c r="D13" s="47" t="str">
        <f>"F"&amp;D9</f>
        <v>F21</v>
      </c>
      <c r="E13" s="75" t="s">
        <v>33</v>
      </c>
      <c r="F13" s="72">
        <f ca="1">ROUND(2*($F$12-$C$7)/$C$8,0)/2+$F$11</f>
        <v>1942.5</v>
      </c>
    </row>
    <row r="14" spans="1:6" s="38" customFormat="1" ht="12.95" customHeight="1" x14ac:dyDescent="0.2">
      <c r="A14" s="46" t="s">
        <v>28</v>
      </c>
      <c r="B14" s="46"/>
      <c r="C14" s="47" t="str">
        <f>"R"&amp;C9</f>
        <v>R21</v>
      </c>
      <c r="D14" s="47" t="str">
        <f>"S"&amp;D9</f>
        <v>S21</v>
      </c>
      <c r="E14" s="75" t="s">
        <v>34</v>
      </c>
      <c r="F14" s="73">
        <f ca="1">ROUND(2*($F$12-$C$15)/$C$16,0)/2+$F$11</f>
        <v>63.5</v>
      </c>
    </row>
    <row r="15" spans="1:6" s="38" customFormat="1" ht="12.95" customHeight="1" x14ac:dyDescent="0.2">
      <c r="A15" s="50" t="s">
        <v>14</v>
      </c>
      <c r="C15" s="51">
        <f ca="1">($C7+C11)+($C8+C12)*INT(MAX($F21:$F3533))</f>
        <v>60467.701782811797</v>
      </c>
      <c r="D15" s="51">
        <f ca="1">($C7+D11)+($C8+D12)*INT(MAX($F21:$F3533))</f>
        <v>60467.808883946833</v>
      </c>
      <c r="E15" s="75" t="s">
        <v>188</v>
      </c>
      <c r="F15" s="74">
        <f ca="1">+$C$15+$C$16*$F$14-15018.5-$C$5/24</f>
        <v>45668.665027386713</v>
      </c>
    </row>
    <row r="16" spans="1:6" s="38" customFormat="1" ht="12.95" customHeight="1" x14ac:dyDescent="0.2">
      <c r="A16" s="40" t="s">
        <v>3</v>
      </c>
      <c r="C16" s="52">
        <f ca="1">+$C8+C12</f>
        <v>3.449880491993333</v>
      </c>
      <c r="D16" s="49">
        <f ca="1">+$C8+D12</f>
        <v>3.4498621166565551</v>
      </c>
      <c r="E16" s="76" t="s">
        <v>189</v>
      </c>
      <c r="F16" s="79">
        <f ca="1">+($D$15+$D$16*$F$14)-($D$16/2)-15018.5-$C$5/24</f>
        <v>45667.046030629528</v>
      </c>
    </row>
    <row r="17" spans="1:21" s="38" customFormat="1" ht="12.95" customHeight="1" thickBot="1" x14ac:dyDescent="0.25">
      <c r="A17" s="46" t="s">
        <v>25</v>
      </c>
      <c r="C17" s="38">
        <f>COUNT(C21:C1247)</f>
        <v>45</v>
      </c>
    </row>
    <row r="18" spans="1:21" s="38" customFormat="1" ht="12.95" customHeight="1" thickTop="1" thickBot="1" x14ac:dyDescent="0.25">
      <c r="A18" s="40" t="s">
        <v>20</v>
      </c>
      <c r="C18" s="53">
        <f ca="1">+C15</f>
        <v>60467.701782811797</v>
      </c>
      <c r="D18" s="54">
        <f ca="1">+C16</f>
        <v>3.449880491993333</v>
      </c>
      <c r="E18" s="55">
        <f>R19</f>
        <v>30</v>
      </c>
    </row>
    <row r="19" spans="1:21" s="38" customFormat="1" ht="12.95" customHeight="1" thickTop="1" thickBot="1" x14ac:dyDescent="0.25">
      <c r="A19" s="40" t="s">
        <v>21</v>
      </c>
      <c r="C19" s="53">
        <f ca="1">+D15</f>
        <v>60467.808883946833</v>
      </c>
      <c r="D19" s="54">
        <f ca="1">+D16</f>
        <v>3.4498621166565551</v>
      </c>
      <c r="E19" s="55">
        <f>S19</f>
        <v>13</v>
      </c>
      <c r="R19" s="38">
        <f>COUNT(R21:R322)</f>
        <v>30</v>
      </c>
      <c r="S19" s="38">
        <f>COUNT(S21:S322)</f>
        <v>13</v>
      </c>
    </row>
    <row r="20" spans="1:21" s="38" customFormat="1" ht="12.95" customHeight="1" thickTop="1" thickBot="1" x14ac:dyDescent="0.25">
      <c r="A20" s="48" t="s">
        <v>4</v>
      </c>
      <c r="B20" s="48" t="s">
        <v>5</v>
      </c>
      <c r="C20" s="48" t="s">
        <v>6</v>
      </c>
      <c r="D20" s="48" t="s">
        <v>10</v>
      </c>
      <c r="E20" s="48" t="s">
        <v>7</v>
      </c>
      <c r="F20" s="48" t="s">
        <v>8</v>
      </c>
      <c r="G20" s="48" t="s">
        <v>9</v>
      </c>
      <c r="H20" s="56" t="s">
        <v>39</v>
      </c>
      <c r="I20" s="56" t="s">
        <v>50</v>
      </c>
      <c r="J20" s="56" t="s">
        <v>185</v>
      </c>
      <c r="K20" s="56" t="s">
        <v>184</v>
      </c>
      <c r="L20" s="56" t="s">
        <v>24</v>
      </c>
      <c r="M20" s="56" t="s">
        <v>16</v>
      </c>
      <c r="N20" s="56" t="s">
        <v>19</v>
      </c>
      <c r="O20" s="56" t="s">
        <v>22</v>
      </c>
      <c r="P20" s="57" t="s">
        <v>23</v>
      </c>
      <c r="Q20" s="48" t="s">
        <v>11</v>
      </c>
      <c r="R20" s="57" t="s">
        <v>17</v>
      </c>
      <c r="S20" s="57" t="s">
        <v>18</v>
      </c>
      <c r="U20" s="58" t="s">
        <v>181</v>
      </c>
    </row>
    <row r="21" spans="1:21" s="38" customFormat="1" ht="12.95" customHeight="1" x14ac:dyDescent="0.2">
      <c r="A21" s="59" t="s">
        <v>65</v>
      </c>
      <c r="B21" s="60" t="s">
        <v>40</v>
      </c>
      <c r="C21" s="63">
        <v>47907.1</v>
      </c>
      <c r="D21" s="64"/>
      <c r="E21" s="38">
        <f t="shared" ref="E21:E60" si="0">+(C21-C$7)/C$8</f>
        <v>-1761.8815726923833</v>
      </c>
      <c r="F21" s="38">
        <f t="shared" ref="F21:F60" si="1">ROUND(2*E21,0)/2</f>
        <v>-1762</v>
      </c>
      <c r="G21" s="38">
        <f t="shared" ref="G21:G60" si="2">+C21-(C$7+F21*C$8)</f>
        <v>0.40856000000349013</v>
      </c>
      <c r="O21" s="38">
        <f t="shared" ref="O21:O60" ca="1" si="3">+C$11+C$12*$F21</f>
        <v>-4.5285359239750729E-3</v>
      </c>
      <c r="P21" s="38">
        <f t="shared" ref="P21:P60" ca="1" si="4">+D$11+D$12*$F21</f>
        <v>0.16947720032075814</v>
      </c>
      <c r="Q21" s="61">
        <f t="shared" ref="Q21:Q60" si="5">+C21-15018.5</f>
        <v>32888.6</v>
      </c>
      <c r="U21" s="38">
        <f>G21</f>
        <v>0.40856000000349013</v>
      </c>
    </row>
    <row r="22" spans="1:21" s="38" customFormat="1" ht="12.95" customHeight="1" x14ac:dyDescent="0.2">
      <c r="A22" s="59" t="s">
        <v>65</v>
      </c>
      <c r="B22" s="60" t="s">
        <v>45</v>
      </c>
      <c r="C22" s="63">
        <v>48257.072</v>
      </c>
      <c r="D22" s="64"/>
      <c r="E22" s="38">
        <f t="shared" si="0"/>
        <v>-1660.4368847612084</v>
      </c>
      <c r="F22" s="38">
        <f t="shared" si="1"/>
        <v>-1660.5</v>
      </c>
      <c r="G22" s="38">
        <f t="shared" si="2"/>
        <v>0.21774000000004889</v>
      </c>
      <c r="K22" s="38">
        <f t="shared" ref="K21:K30" si="6">+G22</f>
        <v>0.21774000000004889</v>
      </c>
      <c r="O22" s="38">
        <f t="shared" ca="1" si="3"/>
        <v>-4.4785986006597948E-3</v>
      </c>
      <c r="P22" s="38">
        <f t="shared" ca="1" si="4"/>
        <v>0.16766204096112206</v>
      </c>
      <c r="Q22" s="61">
        <f t="shared" si="5"/>
        <v>33238.572</v>
      </c>
      <c r="S22" s="38">
        <f>G22</f>
        <v>0.21774000000004889</v>
      </c>
    </row>
    <row r="23" spans="1:21" s="38" customFormat="1" ht="12.95" customHeight="1" x14ac:dyDescent="0.2">
      <c r="A23" s="59" t="s">
        <v>65</v>
      </c>
      <c r="B23" s="60" t="s">
        <v>40</v>
      </c>
      <c r="C23" s="63">
        <v>48265.873</v>
      </c>
      <c r="D23" s="64"/>
      <c r="E23" s="38">
        <f t="shared" si="0"/>
        <v>-1657.8857815344297</v>
      </c>
      <c r="F23" s="38">
        <f t="shared" si="1"/>
        <v>-1658</v>
      </c>
      <c r="G23" s="38">
        <f t="shared" si="2"/>
        <v>0.39403999999922235</v>
      </c>
      <c r="O23" s="38">
        <f t="shared" ca="1" si="3"/>
        <v>-4.4773686173269064E-3</v>
      </c>
      <c r="P23" s="38">
        <f t="shared" ca="1" si="4"/>
        <v>0.16761733260251033</v>
      </c>
      <c r="Q23" s="61">
        <f t="shared" si="5"/>
        <v>33247.373</v>
      </c>
      <c r="U23" s="38">
        <f>G23</f>
        <v>0.39403999999922235</v>
      </c>
    </row>
    <row r="24" spans="1:21" s="38" customFormat="1" ht="12.95" customHeight="1" x14ac:dyDescent="0.2">
      <c r="A24" s="59" t="s">
        <v>77</v>
      </c>
      <c r="B24" s="60" t="s">
        <v>40</v>
      </c>
      <c r="C24" s="63">
        <v>50304.35</v>
      </c>
      <c r="D24" s="64"/>
      <c r="E24" s="38">
        <f t="shared" si="0"/>
        <v>-1067.0023305158438</v>
      </c>
      <c r="F24" s="38">
        <f t="shared" si="1"/>
        <v>-1067</v>
      </c>
      <c r="G24" s="38">
        <f t="shared" si="2"/>
        <v>-8.0400000006193295E-3</v>
      </c>
      <c r="K24" s="38">
        <f t="shared" si="6"/>
        <v>-8.0400000006193295E-3</v>
      </c>
      <c r="O24" s="38">
        <f t="shared" ca="1" si="3"/>
        <v>-4.1866005574320402E-3</v>
      </c>
      <c r="P24" s="38">
        <f t="shared" ca="1" si="4"/>
        <v>0.15704827662669832</v>
      </c>
      <c r="Q24" s="61">
        <f t="shared" si="5"/>
        <v>35285.85</v>
      </c>
      <c r="R24" s="38">
        <f>G24</f>
        <v>-8.0400000006193295E-3</v>
      </c>
    </row>
    <row r="25" spans="1:21" s="38" customFormat="1" ht="12.95" customHeight="1" x14ac:dyDescent="0.2">
      <c r="A25" s="59" t="s">
        <v>77</v>
      </c>
      <c r="B25" s="60" t="s">
        <v>40</v>
      </c>
      <c r="C25" s="63">
        <v>50604.5</v>
      </c>
      <c r="D25" s="64"/>
      <c r="E25" s="38">
        <f t="shared" si="0"/>
        <v>-979.99930432362794</v>
      </c>
      <c r="F25" s="38">
        <f t="shared" si="1"/>
        <v>-980</v>
      </c>
      <c r="G25" s="38">
        <f t="shared" si="2"/>
        <v>2.4000000048545189E-3</v>
      </c>
      <c r="K25" s="38">
        <f t="shared" si="6"/>
        <v>2.4000000048545189E-3</v>
      </c>
      <c r="O25" s="38">
        <f t="shared" ca="1" si="3"/>
        <v>-4.1437971374475163E-3</v>
      </c>
      <c r="P25" s="38">
        <f t="shared" ca="1" si="4"/>
        <v>0.15549242574701028</v>
      </c>
      <c r="Q25" s="61">
        <f t="shared" si="5"/>
        <v>35586</v>
      </c>
      <c r="R25" s="38">
        <f>G25</f>
        <v>2.4000000048545189E-3</v>
      </c>
    </row>
    <row r="26" spans="1:21" s="38" customFormat="1" ht="12.95" customHeight="1" x14ac:dyDescent="0.2">
      <c r="A26" s="59" t="s">
        <v>77</v>
      </c>
      <c r="B26" s="60" t="s">
        <v>45</v>
      </c>
      <c r="C26" s="63">
        <v>50606.37</v>
      </c>
      <c r="D26" s="64"/>
      <c r="E26" s="38">
        <f t="shared" si="0"/>
        <v>-979.45725648428208</v>
      </c>
      <c r="F26" s="38">
        <f t="shared" si="1"/>
        <v>-979.5</v>
      </c>
      <c r="G26" s="38">
        <f t="shared" si="2"/>
        <v>0.14746000000741333</v>
      </c>
      <c r="K26" s="38">
        <f t="shared" si="6"/>
        <v>0.14746000000741333</v>
      </c>
      <c r="O26" s="38">
        <f t="shared" ca="1" si="3"/>
        <v>-4.1435511407809395E-3</v>
      </c>
      <c r="P26" s="38">
        <f t="shared" ca="1" si="4"/>
        <v>0.15548348407528792</v>
      </c>
      <c r="Q26" s="61">
        <f t="shared" si="5"/>
        <v>35587.870000000003</v>
      </c>
      <c r="S26" s="38">
        <f>G26</f>
        <v>0.14746000000741333</v>
      </c>
    </row>
    <row r="27" spans="1:21" s="38" customFormat="1" ht="12.95" customHeight="1" x14ac:dyDescent="0.2">
      <c r="A27" s="59" t="s">
        <v>77</v>
      </c>
      <c r="B27" s="60" t="s">
        <v>45</v>
      </c>
      <c r="C27" s="63">
        <v>50637.39</v>
      </c>
      <c r="D27" s="64"/>
      <c r="E27" s="38">
        <f t="shared" si="0"/>
        <v>-970.46563938455779</v>
      </c>
      <c r="F27" s="38">
        <f t="shared" si="1"/>
        <v>-970.5</v>
      </c>
      <c r="G27" s="38">
        <f t="shared" si="2"/>
        <v>0.11854000000312226</v>
      </c>
      <c r="K27" s="38">
        <f t="shared" si="6"/>
        <v>0.11854000000312226</v>
      </c>
      <c r="O27" s="38">
        <f t="shared" ca="1" si="3"/>
        <v>-4.1391232007825397E-3</v>
      </c>
      <c r="P27" s="38">
        <f t="shared" ca="1" si="4"/>
        <v>0.15532253398428569</v>
      </c>
      <c r="Q27" s="61">
        <f t="shared" si="5"/>
        <v>35618.89</v>
      </c>
      <c r="S27" s="38">
        <f>G27</f>
        <v>0.11854000000312226</v>
      </c>
    </row>
    <row r="28" spans="1:21" s="38" customFormat="1" ht="12.95" customHeight="1" x14ac:dyDescent="0.2">
      <c r="A28" s="59" t="s">
        <v>77</v>
      </c>
      <c r="B28" s="60" t="s">
        <v>40</v>
      </c>
      <c r="C28" s="63">
        <v>50649.35</v>
      </c>
      <c r="D28" s="64"/>
      <c r="E28" s="38">
        <f t="shared" si="0"/>
        <v>-966.99885213398693</v>
      </c>
      <c r="F28" s="38">
        <f t="shared" si="1"/>
        <v>-967</v>
      </c>
      <c r="G28" s="38">
        <f t="shared" si="2"/>
        <v>3.9600000018253922E-3</v>
      </c>
      <c r="K28" s="38">
        <f t="shared" si="6"/>
        <v>3.9600000018253922E-3</v>
      </c>
      <c r="O28" s="38">
        <f t="shared" ca="1" si="3"/>
        <v>-4.1374012241164959E-3</v>
      </c>
      <c r="P28" s="38">
        <f t="shared" ca="1" si="4"/>
        <v>0.15525994228222928</v>
      </c>
      <c r="Q28" s="61">
        <f t="shared" si="5"/>
        <v>35630.85</v>
      </c>
      <c r="R28" s="38">
        <f t="shared" ref="R28:R33" si="7">G28</f>
        <v>3.9600000018253922E-3</v>
      </c>
    </row>
    <row r="29" spans="1:21" s="38" customFormat="1" ht="12.95" customHeight="1" x14ac:dyDescent="0.2">
      <c r="A29" s="59" t="s">
        <v>92</v>
      </c>
      <c r="B29" s="60" t="s">
        <v>40</v>
      </c>
      <c r="C29" s="63">
        <v>50949.485999999997</v>
      </c>
      <c r="D29" s="64"/>
      <c r="E29" s="38">
        <f t="shared" si="0"/>
        <v>-879.99988405393822</v>
      </c>
      <c r="F29" s="38">
        <f t="shared" si="1"/>
        <v>-880</v>
      </c>
      <c r="G29" s="38">
        <f t="shared" si="2"/>
        <v>3.9999999717110768E-4</v>
      </c>
      <c r="K29" s="38">
        <f t="shared" si="6"/>
        <v>3.9999999717110768E-4</v>
      </c>
      <c r="O29" s="38">
        <f t="shared" ca="1" si="3"/>
        <v>-4.094597804131973E-3</v>
      </c>
      <c r="P29" s="38">
        <f t="shared" ca="1" si="4"/>
        <v>0.15370409140254124</v>
      </c>
      <c r="Q29" s="61">
        <f t="shared" si="5"/>
        <v>35930.985999999997</v>
      </c>
      <c r="R29" s="38">
        <f t="shared" si="7"/>
        <v>3.9999999717110768E-4</v>
      </c>
    </row>
    <row r="30" spans="1:21" s="38" customFormat="1" ht="12.95" customHeight="1" x14ac:dyDescent="0.2">
      <c r="A30" s="59" t="s">
        <v>96</v>
      </c>
      <c r="B30" s="60" t="s">
        <v>40</v>
      </c>
      <c r="C30" s="63">
        <v>50949.487999999998</v>
      </c>
      <c r="D30" s="64"/>
      <c r="E30" s="38">
        <f t="shared" si="0"/>
        <v>-879.99930432362862</v>
      </c>
      <c r="F30" s="38">
        <f t="shared" si="1"/>
        <v>-880</v>
      </c>
      <c r="G30" s="38">
        <f t="shared" si="2"/>
        <v>2.3999999975785613E-3</v>
      </c>
      <c r="K30" s="38">
        <f t="shared" si="6"/>
        <v>2.3999999975785613E-3</v>
      </c>
      <c r="O30" s="38">
        <f t="shared" ca="1" si="3"/>
        <v>-4.094597804131973E-3</v>
      </c>
      <c r="P30" s="38">
        <f t="shared" ca="1" si="4"/>
        <v>0.15370409140254124</v>
      </c>
      <c r="Q30" s="61">
        <f t="shared" si="5"/>
        <v>35930.987999999998</v>
      </c>
      <c r="R30" s="38">
        <f t="shared" si="7"/>
        <v>2.3999999975785613E-3</v>
      </c>
    </row>
    <row r="31" spans="1:21" x14ac:dyDescent="0.2">
      <c r="A31" s="2" t="s">
        <v>41</v>
      </c>
      <c r="B31" s="8"/>
      <c r="C31" s="2">
        <v>51708.449399999998</v>
      </c>
      <c r="D31" s="2">
        <v>2E-3</v>
      </c>
      <c r="E31">
        <f t="shared" si="0"/>
        <v>-660.00284067851635</v>
      </c>
      <c r="F31">
        <f t="shared" si="1"/>
        <v>-660</v>
      </c>
      <c r="G31">
        <f t="shared" si="2"/>
        <v>-9.7999999998137355E-3</v>
      </c>
      <c r="I31">
        <f>+G31</f>
        <v>-9.7999999998137355E-3</v>
      </c>
      <c r="O31">
        <f t="shared" ca="1" si="3"/>
        <v>-3.986359270837775E-3</v>
      </c>
      <c r="P31">
        <f t="shared" ca="1" si="4"/>
        <v>0.14976975584470936</v>
      </c>
      <c r="Q31" s="1">
        <f t="shared" si="5"/>
        <v>36689.949399999998</v>
      </c>
      <c r="R31">
        <f t="shared" si="7"/>
        <v>-9.7999999998137355E-3</v>
      </c>
    </row>
    <row r="32" spans="1:21" x14ac:dyDescent="0.2">
      <c r="A32" s="5" t="s">
        <v>39</v>
      </c>
      <c r="B32" s="6" t="s">
        <v>40</v>
      </c>
      <c r="C32" s="5">
        <v>52501.918700000002</v>
      </c>
      <c r="D32" s="7"/>
      <c r="E32">
        <f t="shared" si="0"/>
        <v>-430.00373926049468</v>
      </c>
      <c r="F32">
        <f t="shared" si="1"/>
        <v>-430</v>
      </c>
      <c r="G32">
        <f t="shared" si="2"/>
        <v>-1.2899999994260725E-2</v>
      </c>
      <c r="H32">
        <f>+G32</f>
        <v>-1.2899999994260725E-2</v>
      </c>
      <c r="O32">
        <f t="shared" ca="1" si="3"/>
        <v>-3.8732008042120236E-3</v>
      </c>
      <c r="P32">
        <f t="shared" ca="1" si="4"/>
        <v>0.14565658685243058</v>
      </c>
      <c r="Q32" s="1">
        <f t="shared" si="5"/>
        <v>37483.418700000002</v>
      </c>
      <c r="R32">
        <f t="shared" si="7"/>
        <v>-1.2899999994260725E-2</v>
      </c>
    </row>
    <row r="33" spans="1:19" x14ac:dyDescent="0.2">
      <c r="A33" s="13" t="s">
        <v>44</v>
      </c>
      <c r="B33" s="10" t="s">
        <v>40</v>
      </c>
      <c r="C33" s="9">
        <v>53885.327599999997</v>
      </c>
      <c r="D33" s="9">
        <v>2.9999999999999997E-4</v>
      </c>
      <c r="E33">
        <f t="shared" si="0"/>
        <v>-29.001704407109955</v>
      </c>
      <c r="F33">
        <f t="shared" si="1"/>
        <v>-29</v>
      </c>
      <c r="G33">
        <f t="shared" si="2"/>
        <v>-5.8799999969778582E-3</v>
      </c>
      <c r="I33">
        <f t="shared" ref="I33:I64" si="8">+G33</f>
        <v>-5.8799999969778582E-3</v>
      </c>
      <c r="O33">
        <f t="shared" ca="1" si="3"/>
        <v>-3.675911477616691E-3</v>
      </c>
      <c r="P33">
        <f t="shared" ca="1" si="4"/>
        <v>0.13848536613110973</v>
      </c>
      <c r="Q33" s="1">
        <f t="shared" si="5"/>
        <v>38866.827599999997</v>
      </c>
      <c r="R33">
        <f t="shared" si="7"/>
        <v>-5.8799999969778582E-3</v>
      </c>
    </row>
    <row r="34" spans="1:19" x14ac:dyDescent="0.2">
      <c r="A34" s="13" t="s">
        <v>44</v>
      </c>
      <c r="B34" s="10" t="s">
        <v>45</v>
      </c>
      <c r="C34" s="9">
        <v>53911.339099999997</v>
      </c>
      <c r="D34" s="9">
        <v>5.9999999999999995E-4</v>
      </c>
      <c r="E34">
        <f t="shared" si="0"/>
        <v>-21.461876934849897</v>
      </c>
      <c r="F34">
        <f t="shared" si="1"/>
        <v>-21.5</v>
      </c>
      <c r="G34">
        <f t="shared" si="2"/>
        <v>0.13152000000263797</v>
      </c>
      <c r="I34">
        <f t="shared" si="8"/>
        <v>0.13152000000263797</v>
      </c>
      <c r="O34">
        <f t="shared" ca="1" si="3"/>
        <v>-3.6722215276180255E-3</v>
      </c>
      <c r="P34">
        <f t="shared" ca="1" si="4"/>
        <v>0.13835124105527455</v>
      </c>
      <c r="Q34" s="1">
        <f t="shared" si="5"/>
        <v>38892.839099999997</v>
      </c>
      <c r="S34">
        <f>G34</f>
        <v>0.13152000000263797</v>
      </c>
    </row>
    <row r="35" spans="1:19" x14ac:dyDescent="0.2">
      <c r="A35" s="13" t="s">
        <v>44</v>
      </c>
      <c r="B35" s="10" t="s">
        <v>45</v>
      </c>
      <c r="C35" s="9">
        <v>53942.387499999997</v>
      </c>
      <c r="D35" s="9">
        <v>5.0000000000000001E-4</v>
      </c>
      <c r="E35">
        <f t="shared" si="0"/>
        <v>-12.462027664730453</v>
      </c>
      <c r="F35">
        <f t="shared" si="1"/>
        <v>-12.5</v>
      </c>
      <c r="G35">
        <f t="shared" si="2"/>
        <v>0.13100000000122236</v>
      </c>
      <c r="I35">
        <f t="shared" si="8"/>
        <v>0.13100000000122236</v>
      </c>
      <c r="O35">
        <f t="shared" ca="1" si="3"/>
        <v>-3.6677935876196265E-3</v>
      </c>
      <c r="P35">
        <f t="shared" ca="1" si="4"/>
        <v>0.13819029096427235</v>
      </c>
      <c r="Q35" s="1">
        <f t="shared" si="5"/>
        <v>38923.887499999997</v>
      </c>
      <c r="S35">
        <f>G35</f>
        <v>0.13100000000122236</v>
      </c>
    </row>
    <row r="36" spans="1:19" x14ac:dyDescent="0.2">
      <c r="A36" s="13" t="s">
        <v>44</v>
      </c>
      <c r="B36" s="10" t="s">
        <v>45</v>
      </c>
      <c r="C36" s="9">
        <v>54287.375</v>
      </c>
      <c r="D36" s="9">
        <v>4.0000000000000002E-4</v>
      </c>
      <c r="E36">
        <f t="shared" si="0"/>
        <v>87.537827402693026</v>
      </c>
      <c r="F36">
        <f t="shared" si="1"/>
        <v>87.5</v>
      </c>
      <c r="G36">
        <f t="shared" si="2"/>
        <v>0.13049999999930151</v>
      </c>
      <c r="I36">
        <f t="shared" si="8"/>
        <v>0.13049999999930151</v>
      </c>
      <c r="O36">
        <f t="shared" ca="1" si="3"/>
        <v>-3.6185942543040823E-3</v>
      </c>
      <c r="P36">
        <f t="shared" ca="1" si="4"/>
        <v>0.13640195661980331</v>
      </c>
      <c r="Q36" s="1">
        <f t="shared" si="5"/>
        <v>39268.875</v>
      </c>
      <c r="S36">
        <f>G36</f>
        <v>0.13049999999930151</v>
      </c>
    </row>
    <row r="37" spans="1:19" x14ac:dyDescent="0.2">
      <c r="A37" s="13" t="s">
        <v>44</v>
      </c>
      <c r="B37" s="10" t="s">
        <v>40</v>
      </c>
      <c r="C37" s="9">
        <v>54292.413800000002</v>
      </c>
      <c r="D37" s="9">
        <v>1E-4</v>
      </c>
      <c r="E37">
        <f t="shared" si="0"/>
        <v>88.998399944347256</v>
      </c>
      <c r="F37">
        <f t="shared" si="1"/>
        <v>89</v>
      </c>
      <c r="G37">
        <f t="shared" si="2"/>
        <v>-5.5199999987962656E-3</v>
      </c>
      <c r="I37">
        <f t="shared" si="8"/>
        <v>-5.5199999987962656E-3</v>
      </c>
      <c r="O37">
        <f t="shared" ca="1" si="3"/>
        <v>-3.6178562643043488E-3</v>
      </c>
      <c r="P37">
        <f t="shared" ca="1" si="4"/>
        <v>0.13637513160463627</v>
      </c>
      <c r="Q37" s="1">
        <f t="shared" si="5"/>
        <v>39273.913800000002</v>
      </c>
      <c r="R37">
        <f t="shared" ref="R37:R45" si="9">G37</f>
        <v>-5.5199999987962656E-3</v>
      </c>
    </row>
    <row r="38" spans="1:19" x14ac:dyDescent="0.2">
      <c r="A38" s="33" t="s">
        <v>125</v>
      </c>
      <c r="B38" s="34" t="s">
        <v>40</v>
      </c>
      <c r="C38" s="65">
        <v>54599.453200000004</v>
      </c>
      <c r="D38" s="20"/>
      <c r="E38">
        <f t="shared" si="0"/>
        <v>177.99842313356007</v>
      </c>
      <c r="F38">
        <f t="shared" si="1"/>
        <v>178</v>
      </c>
      <c r="G38">
        <f t="shared" si="2"/>
        <v>-5.4399999935412779E-3</v>
      </c>
      <c r="I38">
        <f t="shared" si="8"/>
        <v>-5.4399999935412779E-3</v>
      </c>
      <c r="O38">
        <f t="shared" ca="1" si="3"/>
        <v>-3.5740688576535147E-3</v>
      </c>
      <c r="P38">
        <f t="shared" ca="1" si="4"/>
        <v>0.13478351403805883</v>
      </c>
      <c r="Q38" s="1">
        <f t="shared" si="5"/>
        <v>39580.953200000004</v>
      </c>
      <c r="R38">
        <f t="shared" si="9"/>
        <v>-5.4399999935412779E-3</v>
      </c>
    </row>
    <row r="39" spans="1:19" x14ac:dyDescent="0.2">
      <c r="A39" s="11" t="s">
        <v>43</v>
      </c>
      <c r="B39" s="12" t="s">
        <v>40</v>
      </c>
      <c r="C39" s="11">
        <v>54599.453280000002</v>
      </c>
      <c r="D39" s="11">
        <v>6.9999999999999999E-4</v>
      </c>
      <c r="E39">
        <f t="shared" si="0"/>
        <v>177.99844632277185</v>
      </c>
      <c r="F39">
        <f t="shared" si="1"/>
        <v>178</v>
      </c>
      <c r="G39">
        <f t="shared" si="2"/>
        <v>-5.3599999955622479E-3</v>
      </c>
      <c r="I39">
        <f t="shared" si="8"/>
        <v>-5.3599999955622479E-3</v>
      </c>
      <c r="O39">
        <f t="shared" ca="1" si="3"/>
        <v>-3.5740688576535147E-3</v>
      </c>
      <c r="P39">
        <f t="shared" ca="1" si="4"/>
        <v>0.13478351403805883</v>
      </c>
      <c r="Q39" s="1">
        <f t="shared" si="5"/>
        <v>39580.953280000002</v>
      </c>
      <c r="R39">
        <f t="shared" si="9"/>
        <v>-5.3599999955622479E-3</v>
      </c>
    </row>
    <row r="40" spans="1:19" x14ac:dyDescent="0.2">
      <c r="A40" s="33" t="s">
        <v>125</v>
      </c>
      <c r="B40" s="34" t="s">
        <v>40</v>
      </c>
      <c r="C40" s="65">
        <v>54599.453800000003</v>
      </c>
      <c r="D40" s="20"/>
      <c r="E40">
        <f t="shared" si="0"/>
        <v>177.99859705265274</v>
      </c>
      <c r="F40">
        <f t="shared" si="1"/>
        <v>178</v>
      </c>
      <c r="G40">
        <f t="shared" si="2"/>
        <v>-4.8399999941466376E-3</v>
      </c>
      <c r="I40">
        <f t="shared" si="8"/>
        <v>-4.8399999941466376E-3</v>
      </c>
      <c r="O40">
        <f t="shared" ca="1" si="3"/>
        <v>-3.5740688576535147E-3</v>
      </c>
      <c r="P40">
        <f t="shared" ca="1" si="4"/>
        <v>0.13478351403805883</v>
      </c>
      <c r="Q40" s="1">
        <f t="shared" si="5"/>
        <v>39580.953800000003</v>
      </c>
      <c r="R40">
        <f t="shared" si="9"/>
        <v>-4.8399999941466376E-3</v>
      </c>
    </row>
    <row r="41" spans="1:19" x14ac:dyDescent="0.2">
      <c r="A41" s="11" t="s">
        <v>43</v>
      </c>
      <c r="B41" s="12" t="s">
        <v>40</v>
      </c>
      <c r="C41" s="11">
        <v>54599.453889999997</v>
      </c>
      <c r="D41" s="11">
        <v>5.0000000000000001E-4</v>
      </c>
      <c r="E41">
        <f t="shared" si="0"/>
        <v>177.99862314051495</v>
      </c>
      <c r="F41">
        <f t="shared" si="1"/>
        <v>178</v>
      </c>
      <c r="G41">
        <f t="shared" si="2"/>
        <v>-4.7500000000582077E-3</v>
      </c>
      <c r="I41">
        <f t="shared" si="8"/>
        <v>-4.7500000000582077E-3</v>
      </c>
      <c r="O41">
        <f t="shared" ca="1" si="3"/>
        <v>-3.5740688576535147E-3</v>
      </c>
      <c r="P41">
        <f t="shared" ca="1" si="4"/>
        <v>0.13478351403805883</v>
      </c>
      <c r="Q41" s="1">
        <f t="shared" si="5"/>
        <v>39580.953889999997</v>
      </c>
      <c r="R41">
        <f t="shared" si="9"/>
        <v>-4.7500000000582077E-3</v>
      </c>
    </row>
    <row r="42" spans="1:19" x14ac:dyDescent="0.2">
      <c r="A42" s="33" t="s">
        <v>125</v>
      </c>
      <c r="B42" s="34" t="s">
        <v>40</v>
      </c>
      <c r="C42" s="65">
        <v>54599.454700000002</v>
      </c>
      <c r="D42" s="20"/>
      <c r="E42">
        <f t="shared" si="0"/>
        <v>177.99885793129172</v>
      </c>
      <c r="F42">
        <f t="shared" si="1"/>
        <v>178</v>
      </c>
      <c r="G42">
        <f t="shared" si="2"/>
        <v>-3.9399999950546771E-3</v>
      </c>
      <c r="I42">
        <f t="shared" si="8"/>
        <v>-3.9399999950546771E-3</v>
      </c>
      <c r="O42">
        <f t="shared" ca="1" si="3"/>
        <v>-3.5740688576535147E-3</v>
      </c>
      <c r="P42">
        <f t="shared" ca="1" si="4"/>
        <v>0.13478351403805883</v>
      </c>
      <c r="Q42" s="1">
        <f t="shared" si="5"/>
        <v>39580.954700000002</v>
      </c>
      <c r="R42">
        <f t="shared" si="9"/>
        <v>-3.9399999950546771E-3</v>
      </c>
    </row>
    <row r="43" spans="1:19" x14ac:dyDescent="0.2">
      <c r="A43" s="11" t="s">
        <v>43</v>
      </c>
      <c r="B43" s="12" t="s">
        <v>40</v>
      </c>
      <c r="C43" s="11">
        <v>54599.454760000001</v>
      </c>
      <c r="D43" s="11">
        <v>5.9999999999999995E-4</v>
      </c>
      <c r="E43">
        <f t="shared" si="0"/>
        <v>177.99887532320056</v>
      </c>
      <c r="F43">
        <f t="shared" si="1"/>
        <v>178</v>
      </c>
      <c r="G43">
        <f t="shared" si="2"/>
        <v>-3.8799999965704046E-3</v>
      </c>
      <c r="I43">
        <f t="shared" si="8"/>
        <v>-3.8799999965704046E-3</v>
      </c>
      <c r="O43">
        <f t="shared" ca="1" si="3"/>
        <v>-3.5740688576535147E-3</v>
      </c>
      <c r="P43">
        <f t="shared" ca="1" si="4"/>
        <v>0.13478351403805883</v>
      </c>
      <c r="Q43" s="1">
        <f t="shared" si="5"/>
        <v>39580.954760000001</v>
      </c>
      <c r="R43">
        <f t="shared" si="9"/>
        <v>-3.8799999965704046E-3</v>
      </c>
    </row>
    <row r="44" spans="1:19" x14ac:dyDescent="0.2">
      <c r="A44" s="9" t="s">
        <v>42</v>
      </c>
      <c r="B44" s="10" t="s">
        <v>40</v>
      </c>
      <c r="C44" s="9">
        <v>54616.703099999999</v>
      </c>
      <c r="D44" s="9">
        <v>2.0000000000000001E-4</v>
      </c>
      <c r="E44">
        <f t="shared" si="0"/>
        <v>182.99856806613604</v>
      </c>
      <c r="F44">
        <f t="shared" si="1"/>
        <v>183</v>
      </c>
      <c r="G44">
        <f t="shared" si="2"/>
        <v>-4.9399999988963827E-3</v>
      </c>
      <c r="I44">
        <f t="shared" si="8"/>
        <v>-4.9399999988963827E-3</v>
      </c>
      <c r="O44">
        <f t="shared" ca="1" si="3"/>
        <v>-3.5716088909877376E-3</v>
      </c>
      <c r="P44">
        <f t="shared" ca="1" si="4"/>
        <v>0.13469409732083537</v>
      </c>
      <c r="Q44" s="1">
        <f t="shared" si="5"/>
        <v>39598.203099999999</v>
      </c>
      <c r="R44">
        <f t="shared" si="9"/>
        <v>-4.9399999988963827E-3</v>
      </c>
    </row>
    <row r="45" spans="1:19" x14ac:dyDescent="0.2">
      <c r="A45" s="9" t="s">
        <v>42</v>
      </c>
      <c r="B45" s="10" t="s">
        <v>40</v>
      </c>
      <c r="C45" s="9">
        <v>54616.703200000004</v>
      </c>
      <c r="D45" s="9">
        <v>2.0000000000000001E-4</v>
      </c>
      <c r="E45">
        <f t="shared" si="0"/>
        <v>182.99859705265291</v>
      </c>
      <c r="F45">
        <f t="shared" si="1"/>
        <v>183</v>
      </c>
      <c r="G45">
        <f t="shared" si="2"/>
        <v>-4.8399999941466376E-3</v>
      </c>
      <c r="I45">
        <f t="shared" si="8"/>
        <v>-4.8399999941466376E-3</v>
      </c>
      <c r="O45">
        <f t="shared" ca="1" si="3"/>
        <v>-3.5716088909877376E-3</v>
      </c>
      <c r="P45">
        <f t="shared" ca="1" si="4"/>
        <v>0.13469409732083537</v>
      </c>
      <c r="Q45" s="1">
        <f t="shared" si="5"/>
        <v>39598.203200000004</v>
      </c>
      <c r="R45">
        <f t="shared" si="9"/>
        <v>-4.8399999941466376E-3</v>
      </c>
    </row>
    <row r="46" spans="1:19" x14ac:dyDescent="0.2">
      <c r="A46" s="13" t="s">
        <v>44</v>
      </c>
      <c r="B46" s="10" t="s">
        <v>45</v>
      </c>
      <c r="C46" s="9">
        <v>54670.315499999997</v>
      </c>
      <c r="D46" s="9">
        <v>5.9999999999999995E-4</v>
      </c>
      <c r="E46">
        <f t="shared" si="0"/>
        <v>198.53893468758324</v>
      </c>
      <c r="F46">
        <f t="shared" si="1"/>
        <v>198.5</v>
      </c>
      <c r="G46">
        <f t="shared" si="2"/>
        <v>0.13431999999738764</v>
      </c>
      <c r="I46">
        <f t="shared" si="8"/>
        <v>0.13431999999738764</v>
      </c>
      <c r="O46">
        <f t="shared" ca="1" si="3"/>
        <v>-3.563982994323828E-3</v>
      </c>
      <c r="P46">
        <f t="shared" ca="1" si="4"/>
        <v>0.13441690549744267</v>
      </c>
      <c r="Q46" s="1">
        <f t="shared" si="5"/>
        <v>39651.815499999997</v>
      </c>
      <c r="S46">
        <f>G46</f>
        <v>0.13431999999738764</v>
      </c>
    </row>
    <row r="47" spans="1:19" x14ac:dyDescent="0.2">
      <c r="A47" s="13" t="s">
        <v>44</v>
      </c>
      <c r="B47" s="10" t="s">
        <v>40</v>
      </c>
      <c r="C47" s="9">
        <v>54675.351699999999</v>
      </c>
      <c r="D47" s="9">
        <v>2.9999999999999997E-4</v>
      </c>
      <c r="E47">
        <f t="shared" si="0"/>
        <v>199.99875357983521</v>
      </c>
      <c r="F47">
        <f t="shared" si="1"/>
        <v>200</v>
      </c>
      <c r="G47">
        <f t="shared" si="2"/>
        <v>-4.3000000005122274E-3</v>
      </c>
      <c r="I47">
        <f t="shared" si="8"/>
        <v>-4.3000000005122274E-3</v>
      </c>
      <c r="O47">
        <f t="shared" ca="1" si="3"/>
        <v>-3.5632450043240949E-3</v>
      </c>
      <c r="P47">
        <f t="shared" ca="1" si="4"/>
        <v>0.13439008048227563</v>
      </c>
      <c r="Q47" s="1">
        <f t="shared" si="5"/>
        <v>39656.851699999999</v>
      </c>
      <c r="R47">
        <f>G47</f>
        <v>-4.3000000005122274E-3</v>
      </c>
    </row>
    <row r="48" spans="1:19" x14ac:dyDescent="0.2">
      <c r="A48" s="14" t="s">
        <v>44</v>
      </c>
      <c r="B48" s="15" t="s">
        <v>40</v>
      </c>
      <c r="C48" s="14">
        <v>54675.351699999999</v>
      </c>
      <c r="D48" s="14">
        <v>2.9999999999999997E-4</v>
      </c>
      <c r="E48">
        <f t="shared" si="0"/>
        <v>199.99875357983521</v>
      </c>
      <c r="F48">
        <f t="shared" si="1"/>
        <v>200</v>
      </c>
      <c r="G48">
        <f t="shared" si="2"/>
        <v>-4.3000000005122274E-3</v>
      </c>
      <c r="I48">
        <f t="shared" si="8"/>
        <v>-4.3000000005122274E-3</v>
      </c>
      <c r="O48">
        <f t="shared" ca="1" si="3"/>
        <v>-3.5632450043240949E-3</v>
      </c>
      <c r="P48">
        <f t="shared" ca="1" si="4"/>
        <v>0.13439008048227563</v>
      </c>
      <c r="Q48" s="1">
        <f t="shared" si="5"/>
        <v>39656.851699999999</v>
      </c>
      <c r="R48">
        <f>G48</f>
        <v>-4.3000000005122274E-3</v>
      </c>
    </row>
    <row r="49" spans="1:19" x14ac:dyDescent="0.2">
      <c r="A49" s="33" t="s">
        <v>148</v>
      </c>
      <c r="B49" s="34" t="s">
        <v>40</v>
      </c>
      <c r="C49" s="65">
        <v>55299.779499999997</v>
      </c>
      <c r="D49" s="20"/>
      <c r="E49">
        <f t="shared" si="0"/>
        <v>380.99861444456025</v>
      </c>
      <c r="F49">
        <f t="shared" si="1"/>
        <v>381</v>
      </c>
      <c r="G49">
        <f t="shared" si="2"/>
        <v>-4.7800000029383227E-3</v>
      </c>
      <c r="I49">
        <f t="shared" si="8"/>
        <v>-4.7800000029383227E-3</v>
      </c>
      <c r="O49">
        <f t="shared" ca="1" si="3"/>
        <v>-3.4741942110229599E-3</v>
      </c>
      <c r="P49">
        <f t="shared" ca="1" si="4"/>
        <v>0.13115319531878669</v>
      </c>
      <c r="Q49" s="1">
        <f t="shared" si="5"/>
        <v>40281.279499999997</v>
      </c>
      <c r="R49">
        <f>G49</f>
        <v>-4.7800000029383227E-3</v>
      </c>
    </row>
    <row r="50" spans="1:19" x14ac:dyDescent="0.2">
      <c r="A50" s="33" t="s">
        <v>148</v>
      </c>
      <c r="B50" s="34" t="s">
        <v>40</v>
      </c>
      <c r="C50" s="65">
        <v>55337.728999999999</v>
      </c>
      <c r="D50" s="20"/>
      <c r="E50">
        <f t="shared" si="0"/>
        <v>391.99885213398784</v>
      </c>
      <c r="F50">
        <f t="shared" si="1"/>
        <v>392</v>
      </c>
      <c r="G50">
        <f t="shared" si="2"/>
        <v>-3.9599999945494346E-3</v>
      </c>
      <c r="I50">
        <f t="shared" si="8"/>
        <v>-3.9599999945494346E-3</v>
      </c>
      <c r="O50">
        <f t="shared" ca="1" si="3"/>
        <v>-3.4687822843582502E-3</v>
      </c>
      <c r="P50">
        <f t="shared" ca="1" si="4"/>
        <v>0.13095647854089509</v>
      </c>
      <c r="Q50" s="1">
        <f t="shared" si="5"/>
        <v>40319.228999999999</v>
      </c>
      <c r="R50">
        <f>G50</f>
        <v>-3.9599999945494346E-3</v>
      </c>
    </row>
    <row r="51" spans="1:19" x14ac:dyDescent="0.2">
      <c r="A51" s="33" t="s">
        <v>148</v>
      </c>
      <c r="B51" s="34" t="s">
        <v>40</v>
      </c>
      <c r="C51" s="65">
        <v>55368.777600000001</v>
      </c>
      <c r="D51" s="20"/>
      <c r="E51">
        <f t="shared" si="0"/>
        <v>400.99875937713892</v>
      </c>
      <c r="F51">
        <f t="shared" si="1"/>
        <v>401</v>
      </c>
      <c r="G51">
        <f t="shared" si="2"/>
        <v>-4.2799999937415123E-3</v>
      </c>
      <c r="I51">
        <f t="shared" si="8"/>
        <v>-4.2799999937415123E-3</v>
      </c>
      <c r="O51">
        <f t="shared" ca="1" si="3"/>
        <v>-3.4643543443598512E-3</v>
      </c>
      <c r="P51">
        <f t="shared" ca="1" si="4"/>
        <v>0.13079552844989287</v>
      </c>
      <c r="Q51" s="1">
        <f t="shared" si="5"/>
        <v>40350.277600000001</v>
      </c>
      <c r="R51">
        <f>G51</f>
        <v>-4.2799999937415123E-3</v>
      </c>
    </row>
    <row r="52" spans="1:19" x14ac:dyDescent="0.2">
      <c r="A52" s="13" t="s">
        <v>44</v>
      </c>
      <c r="B52" s="10" t="s">
        <v>45</v>
      </c>
      <c r="C52" s="9">
        <v>55384.436999999998</v>
      </c>
      <c r="D52" s="9">
        <v>4.0000000000000002E-4</v>
      </c>
      <c r="E52">
        <f t="shared" si="0"/>
        <v>405.53787378111724</v>
      </c>
      <c r="F52">
        <f t="shared" si="1"/>
        <v>405.5</v>
      </c>
      <c r="G52">
        <f t="shared" si="2"/>
        <v>0.13066000000253553</v>
      </c>
      <c r="I52">
        <f t="shared" si="8"/>
        <v>0.13066000000253553</v>
      </c>
      <c r="O52">
        <f t="shared" ca="1" si="3"/>
        <v>-3.4621403743606517E-3</v>
      </c>
      <c r="P52">
        <f t="shared" ca="1" si="4"/>
        <v>0.13071505340439177</v>
      </c>
      <c r="Q52" s="1">
        <f t="shared" si="5"/>
        <v>40365.936999999998</v>
      </c>
      <c r="S52">
        <f>G52</f>
        <v>0.13066000000253553</v>
      </c>
    </row>
    <row r="53" spans="1:19" x14ac:dyDescent="0.2">
      <c r="A53" s="13" t="s">
        <v>44</v>
      </c>
      <c r="B53" s="10" t="s">
        <v>40</v>
      </c>
      <c r="C53" s="9">
        <v>55396.377999999997</v>
      </c>
      <c r="D53" s="9">
        <v>2.9999999999999997E-4</v>
      </c>
      <c r="E53">
        <f t="shared" si="0"/>
        <v>408.99915359374808</v>
      </c>
      <c r="F53">
        <f t="shared" si="1"/>
        <v>409</v>
      </c>
      <c r="G53">
        <f t="shared" si="2"/>
        <v>-2.9199999989941716E-3</v>
      </c>
      <c r="I53">
        <f t="shared" si="8"/>
        <v>-2.9199999989941716E-3</v>
      </c>
      <c r="O53">
        <f t="shared" ca="1" si="3"/>
        <v>-3.4604183976946075E-3</v>
      </c>
      <c r="P53">
        <f t="shared" ca="1" si="4"/>
        <v>0.13065246170233535</v>
      </c>
      <c r="Q53" s="1">
        <f t="shared" si="5"/>
        <v>40377.877999999997</v>
      </c>
      <c r="R53">
        <f>G53</f>
        <v>-2.9199999989941716E-3</v>
      </c>
    </row>
    <row r="54" spans="1:19" x14ac:dyDescent="0.2">
      <c r="A54" s="33" t="s">
        <v>148</v>
      </c>
      <c r="B54" s="34" t="s">
        <v>45</v>
      </c>
      <c r="C54" s="65">
        <v>55401.678999999996</v>
      </c>
      <c r="D54" s="20"/>
      <c r="E54">
        <f t="shared" si="0"/>
        <v>410.53572877897176</v>
      </c>
      <c r="F54">
        <f t="shared" si="1"/>
        <v>410.5</v>
      </c>
      <c r="G54">
        <f t="shared" si="2"/>
        <v>0.12326000000030035</v>
      </c>
      <c r="I54">
        <f t="shared" si="8"/>
        <v>0.12326000000030035</v>
      </c>
      <c r="O54">
        <f t="shared" ca="1" si="3"/>
        <v>-3.4596804076948741E-3</v>
      </c>
      <c r="P54">
        <f t="shared" ca="1" si="4"/>
        <v>0.13062563668716831</v>
      </c>
      <c r="Q54" s="1">
        <f t="shared" si="5"/>
        <v>40383.178999999996</v>
      </c>
      <c r="S54">
        <f>G54</f>
        <v>0.12326000000030035</v>
      </c>
    </row>
    <row r="55" spans="1:19" x14ac:dyDescent="0.2">
      <c r="A55" s="33" t="s">
        <v>148</v>
      </c>
      <c r="B55" s="34" t="s">
        <v>40</v>
      </c>
      <c r="C55" s="65">
        <v>55451.575100000002</v>
      </c>
      <c r="D55" s="20"/>
      <c r="E55">
        <f t="shared" si="0"/>
        <v>424.99886952589787</v>
      </c>
      <c r="F55">
        <f t="shared" si="1"/>
        <v>425</v>
      </c>
      <c r="G55">
        <f t="shared" si="2"/>
        <v>-3.8999999960651621E-3</v>
      </c>
      <c r="I55">
        <f t="shared" si="8"/>
        <v>-3.8999999960651621E-3</v>
      </c>
      <c r="O55">
        <f t="shared" ca="1" si="3"/>
        <v>-3.4525465043641203E-3</v>
      </c>
      <c r="P55">
        <f t="shared" ca="1" si="4"/>
        <v>0.1303663282072203</v>
      </c>
      <c r="Q55" s="1">
        <f t="shared" si="5"/>
        <v>40433.075100000002</v>
      </c>
      <c r="R55">
        <f>G55</f>
        <v>-3.8999999960651621E-3</v>
      </c>
    </row>
    <row r="56" spans="1:19" x14ac:dyDescent="0.2">
      <c r="A56" s="14" t="s">
        <v>46</v>
      </c>
      <c r="B56" s="15" t="s">
        <v>40</v>
      </c>
      <c r="C56" s="14">
        <v>55630.969700000001</v>
      </c>
      <c r="D56" s="14">
        <v>2.0000000000000001E-4</v>
      </c>
      <c r="E56">
        <f t="shared" si="0"/>
        <v>476.99911301262773</v>
      </c>
      <c r="F56">
        <f t="shared" si="1"/>
        <v>477</v>
      </c>
      <c r="G56">
        <f t="shared" si="2"/>
        <v>-3.0599999954574741E-3</v>
      </c>
      <c r="I56">
        <f t="shared" si="8"/>
        <v>-3.0599999954574741E-3</v>
      </c>
      <c r="O56">
        <f t="shared" ca="1" si="3"/>
        <v>-3.4269628510400375E-3</v>
      </c>
      <c r="P56">
        <f t="shared" ca="1" si="4"/>
        <v>0.1294363943480964</v>
      </c>
      <c r="Q56" s="1">
        <f t="shared" si="5"/>
        <v>40612.469700000001</v>
      </c>
      <c r="R56">
        <f>G56</f>
        <v>-3.0599999954574741E-3</v>
      </c>
    </row>
    <row r="57" spans="1:19" x14ac:dyDescent="0.2">
      <c r="A57" s="14" t="s">
        <v>46</v>
      </c>
      <c r="B57" s="15" t="s">
        <v>40</v>
      </c>
      <c r="C57" s="14">
        <v>55694.921199999997</v>
      </c>
      <c r="D57" s="14">
        <v>5.0000000000000001E-4</v>
      </c>
      <c r="E57">
        <f t="shared" si="0"/>
        <v>495.53642445534331</v>
      </c>
      <c r="F57">
        <f t="shared" si="1"/>
        <v>495.5</v>
      </c>
      <c r="G57">
        <f t="shared" si="2"/>
        <v>0.12565999999787891</v>
      </c>
      <c r="I57">
        <f t="shared" si="8"/>
        <v>0.12565999999787891</v>
      </c>
      <c r="O57">
        <f t="shared" ca="1" si="3"/>
        <v>-3.4178609743766618E-3</v>
      </c>
      <c r="P57">
        <f t="shared" ca="1" si="4"/>
        <v>0.12910555249436964</v>
      </c>
      <c r="Q57" s="1">
        <f t="shared" si="5"/>
        <v>40676.421199999997</v>
      </c>
      <c r="S57">
        <f>G57</f>
        <v>0.12565999999787891</v>
      </c>
    </row>
    <row r="58" spans="1:19" x14ac:dyDescent="0.2">
      <c r="A58" s="16" t="s">
        <v>47</v>
      </c>
      <c r="B58" s="17" t="s">
        <v>40</v>
      </c>
      <c r="C58" s="18">
        <v>55734.466070000002</v>
      </c>
      <c r="D58" s="18">
        <v>2.0000000000000001E-4</v>
      </c>
      <c r="E58">
        <f t="shared" si="0"/>
        <v>506.99910431667331</v>
      </c>
      <c r="F58">
        <f t="shared" si="1"/>
        <v>507</v>
      </c>
      <c r="G58">
        <f t="shared" si="2"/>
        <v>-3.0899999983375892E-3</v>
      </c>
      <c r="I58">
        <f t="shared" si="8"/>
        <v>-3.0899999983375892E-3</v>
      </c>
      <c r="O58">
        <f t="shared" ca="1" si="3"/>
        <v>-3.412203051045374E-3</v>
      </c>
      <c r="P58">
        <f t="shared" ca="1" si="4"/>
        <v>0.12889989404475569</v>
      </c>
      <c r="Q58" s="1">
        <f t="shared" si="5"/>
        <v>40715.966070000002</v>
      </c>
      <c r="R58">
        <f>G58</f>
        <v>-3.0899999983375892E-3</v>
      </c>
    </row>
    <row r="59" spans="1:19" x14ac:dyDescent="0.2">
      <c r="A59" s="16" t="s">
        <v>47</v>
      </c>
      <c r="B59" s="17" t="s">
        <v>40</v>
      </c>
      <c r="C59" s="18">
        <v>55734.46617</v>
      </c>
      <c r="D59" s="18">
        <v>4.0000000000000002E-4</v>
      </c>
      <c r="E59">
        <f t="shared" si="0"/>
        <v>506.99913330318805</v>
      </c>
      <c r="F59">
        <f t="shared" si="1"/>
        <v>507</v>
      </c>
      <c r="G59">
        <f t="shared" si="2"/>
        <v>-2.9900000008638017E-3</v>
      </c>
      <c r="I59">
        <f t="shared" si="8"/>
        <v>-2.9900000008638017E-3</v>
      </c>
      <c r="O59">
        <f t="shared" ca="1" si="3"/>
        <v>-3.412203051045374E-3</v>
      </c>
      <c r="P59">
        <f t="shared" ca="1" si="4"/>
        <v>0.12889989404475569</v>
      </c>
      <c r="Q59" s="1">
        <f t="shared" si="5"/>
        <v>40715.96617</v>
      </c>
      <c r="R59">
        <f>G59</f>
        <v>-2.9900000008638017E-3</v>
      </c>
    </row>
    <row r="60" spans="1:19" x14ac:dyDescent="0.2">
      <c r="A60" s="16" t="s">
        <v>47</v>
      </c>
      <c r="B60" s="17" t="s">
        <v>40</v>
      </c>
      <c r="C60" s="18">
        <v>55734.466269999997</v>
      </c>
      <c r="D60" s="18">
        <v>2.9999999999999997E-4</v>
      </c>
      <c r="E60">
        <f t="shared" si="0"/>
        <v>506.99916228970278</v>
      </c>
      <c r="F60">
        <f t="shared" si="1"/>
        <v>507</v>
      </c>
      <c r="G60">
        <f t="shared" si="2"/>
        <v>-2.8900000033900142E-3</v>
      </c>
      <c r="I60">
        <f t="shared" si="8"/>
        <v>-2.8900000033900142E-3</v>
      </c>
      <c r="O60">
        <f t="shared" ca="1" si="3"/>
        <v>-3.412203051045374E-3</v>
      </c>
      <c r="P60">
        <f t="shared" ca="1" si="4"/>
        <v>0.12889989404475569</v>
      </c>
      <c r="Q60" s="1">
        <f t="shared" si="5"/>
        <v>40715.966269999997</v>
      </c>
      <c r="R60">
        <f>G60</f>
        <v>-2.8900000033900142E-3</v>
      </c>
    </row>
    <row r="61" spans="1:19" x14ac:dyDescent="0.2">
      <c r="A61" s="35" t="s">
        <v>182</v>
      </c>
      <c r="B61" s="36" t="s">
        <v>45</v>
      </c>
      <c r="C61" s="66">
        <v>59365.586000000127</v>
      </c>
      <c r="D61" s="67">
        <v>3.0000000000000001E-3</v>
      </c>
      <c r="E61">
        <f t="shared" ref="E61:E62" si="10">+(C61-C$7)/C$8</f>
        <v>1559.5342446694174</v>
      </c>
      <c r="F61">
        <f t="shared" ref="F61:F62" si="11">ROUND(2*E61,0)/2</f>
        <v>1559.5</v>
      </c>
      <c r="G61">
        <f t="shared" ref="G61:G62" si="12">+C61-(C$7+F61*C$8)</f>
        <v>0.11814000012964243</v>
      </c>
      <c r="I61">
        <f t="shared" si="8"/>
        <v>0.11814000012964243</v>
      </c>
      <c r="O61">
        <f t="shared" ref="O61:O62" ca="1" si="13">+C$11+C$12*$F61</f>
        <v>-2.8943800678992711E-3</v>
      </c>
      <c r="P61">
        <f t="shared" ref="P61:P62" ca="1" si="14">+D$11+D$12*$F61</f>
        <v>0.11007767506921909</v>
      </c>
      <c r="Q61" s="1">
        <f t="shared" ref="Q61:Q62" si="15">+C61-15018.5</f>
        <v>44347.086000000127</v>
      </c>
      <c r="S61">
        <f>G61</f>
        <v>0.11814000012964243</v>
      </c>
    </row>
    <row r="62" spans="1:19" x14ac:dyDescent="0.2">
      <c r="A62" s="35" t="s">
        <v>182</v>
      </c>
      <c r="B62" s="36" t="s">
        <v>40</v>
      </c>
      <c r="C62" s="66">
        <v>59377.544999999925</v>
      </c>
      <c r="D62" s="67">
        <v>5.0000000000000001E-3</v>
      </c>
      <c r="E62">
        <f t="shared" si="10"/>
        <v>1563.0007420547754</v>
      </c>
      <c r="F62">
        <f t="shared" si="11"/>
        <v>1563</v>
      </c>
      <c r="G62">
        <f t="shared" si="12"/>
        <v>2.5599999280530028E-3</v>
      </c>
      <c r="I62">
        <f t="shared" si="8"/>
        <v>2.5599999280530028E-3</v>
      </c>
      <c r="O62">
        <f t="shared" ca="1" si="13"/>
        <v>-2.8926580912332269E-3</v>
      </c>
      <c r="P62">
        <f t="shared" ca="1" si="14"/>
        <v>0.11001508336716267</v>
      </c>
      <c r="Q62" s="1">
        <f t="shared" si="15"/>
        <v>44359.044999999925</v>
      </c>
      <c r="R62">
        <f t="shared" ref="R62" si="16">G62</f>
        <v>2.5599999280530028E-3</v>
      </c>
    </row>
    <row r="63" spans="1:19" x14ac:dyDescent="0.2">
      <c r="A63" s="37" t="s">
        <v>183</v>
      </c>
      <c r="B63" s="69" t="s">
        <v>45</v>
      </c>
      <c r="C63" s="68">
        <v>59748.516999999993</v>
      </c>
      <c r="D63" s="67">
        <v>7.0000000000000001E-3</v>
      </c>
      <c r="E63">
        <f t="shared" ref="E63:E64" si="17">+(C63-C$7)/C$8</f>
        <v>1670.5325982352997</v>
      </c>
      <c r="F63">
        <f t="shared" ref="F63:F64" si="18">ROUND(2*E63,0)/2</f>
        <v>1670.5</v>
      </c>
      <c r="G63">
        <f t="shared" ref="G63:G64" si="19">+C63-(C$7+F63*C$8)</f>
        <v>0.11245999999664491</v>
      </c>
      <c r="I63">
        <f t="shared" si="8"/>
        <v>0.11245999999664491</v>
      </c>
      <c r="O63">
        <f t="shared" ref="O63:O64" ca="1" si="20">+C$11+C$12*$F63</f>
        <v>-2.8397688079190172E-3</v>
      </c>
      <c r="P63">
        <f t="shared" ref="P63:P64" ca="1" si="21">+D$11+D$12*$F63</f>
        <v>0.10809262394685845</v>
      </c>
      <c r="Q63" s="1">
        <f t="shared" ref="Q63:Q64" si="22">+C63-15018.5</f>
        <v>44730.016999999993</v>
      </c>
      <c r="S63">
        <f>G63</f>
        <v>0.11245999999664491</v>
      </c>
    </row>
    <row r="64" spans="1:19" x14ac:dyDescent="0.2">
      <c r="A64" s="37" t="s">
        <v>183</v>
      </c>
      <c r="B64" s="69" t="s">
        <v>40</v>
      </c>
      <c r="C64" s="68">
        <v>59753.580000000075</v>
      </c>
      <c r="D64" s="67">
        <v>5.0000000000000001E-3</v>
      </c>
      <c r="E64">
        <f t="shared" si="17"/>
        <v>1672.0001855137214</v>
      </c>
      <c r="F64">
        <f t="shared" si="18"/>
        <v>1672</v>
      </c>
      <c r="G64">
        <f t="shared" si="19"/>
        <v>6.4000007841968909E-4</v>
      </c>
      <c r="I64">
        <f t="shared" si="8"/>
        <v>6.4000007841968909E-4</v>
      </c>
      <c r="O64">
        <f t="shared" ca="1" si="20"/>
        <v>-2.8390308179192837E-3</v>
      </c>
      <c r="P64">
        <f t="shared" ca="1" si="21"/>
        <v>0.10806579893169142</v>
      </c>
      <c r="Q64" s="1">
        <f t="shared" si="22"/>
        <v>44735.080000000075</v>
      </c>
      <c r="R64">
        <f t="shared" ref="R64" si="23">G64</f>
        <v>6.4000007841968909E-4</v>
      </c>
    </row>
    <row r="65" spans="1:19" x14ac:dyDescent="0.2">
      <c r="A65" s="70" t="s">
        <v>186</v>
      </c>
      <c r="B65" s="71" t="s">
        <v>45</v>
      </c>
      <c r="C65" s="68">
        <v>60469.546999999788</v>
      </c>
      <c r="D65" s="70">
        <v>5.0000000000000001E-3</v>
      </c>
      <c r="E65">
        <f t="shared" ref="E65" si="24">+(C65-C$7)/C$8</f>
        <v>1879.5340707502262</v>
      </c>
      <c r="F65">
        <f t="shared" ref="F65" si="25">ROUND(2*E65,0)/2</f>
        <v>1879.5</v>
      </c>
      <c r="G65">
        <f t="shared" ref="G65" si="26">+C65-(C$7+F65*C$8)</f>
        <v>0.11753999978827778</v>
      </c>
      <c r="I65">
        <f t="shared" ref="I65" si="27">+G65</f>
        <v>0.11753999978827778</v>
      </c>
      <c r="O65">
        <f t="shared" ref="O65" ca="1" si="28">+C$11+C$12*$F65</f>
        <v>-2.7369422012895298E-3</v>
      </c>
      <c r="P65">
        <f t="shared" ref="P65" ca="1" si="29">+D$11+D$12*$F65</f>
        <v>0.10435500516691817</v>
      </c>
      <c r="Q65" s="1">
        <f t="shared" ref="Q65" si="30">+C65-15018.5</f>
        <v>45451.046999999788</v>
      </c>
      <c r="S65">
        <f>G65</f>
        <v>0.11753999978827778</v>
      </c>
    </row>
    <row r="66" spans="1:19" x14ac:dyDescent="0.2">
      <c r="B66" s="4"/>
      <c r="C66" s="20"/>
      <c r="D66" s="20"/>
    </row>
    <row r="67" spans="1:19" x14ac:dyDescent="0.2">
      <c r="B67" s="4"/>
      <c r="C67" s="20"/>
      <c r="D67" s="20"/>
    </row>
    <row r="68" spans="1:19" x14ac:dyDescent="0.2">
      <c r="B68" s="4"/>
      <c r="C68" s="20"/>
      <c r="D68" s="20"/>
    </row>
    <row r="69" spans="1:19" x14ac:dyDescent="0.2">
      <c r="B69" s="4"/>
      <c r="C69" s="20"/>
      <c r="D69" s="20"/>
    </row>
    <row r="70" spans="1:19" x14ac:dyDescent="0.2">
      <c r="B70" s="4"/>
      <c r="C70" s="20"/>
      <c r="D70" s="20"/>
    </row>
    <row r="71" spans="1:19" x14ac:dyDescent="0.2">
      <c r="B71" s="4"/>
    </row>
    <row r="72" spans="1:19" x14ac:dyDescent="0.2">
      <c r="B72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51C94-3093-4396-9667-6B22302550A2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3"/>
  <sheetViews>
    <sheetView workbookViewId="0">
      <selection activeCell="A28" sqref="A28:C45"/>
    </sheetView>
  </sheetViews>
  <sheetFormatPr defaultRowHeight="12.75" x14ac:dyDescent="0.2"/>
  <cols>
    <col min="1" max="1" width="19.7109375" style="20" customWidth="1"/>
    <col min="2" max="2" width="4.42578125" style="3" customWidth="1"/>
    <col min="3" max="3" width="12.7109375" style="20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20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19" t="s">
        <v>48</v>
      </c>
      <c r="I1" s="21" t="s">
        <v>49</v>
      </c>
      <c r="J1" s="22" t="s">
        <v>50</v>
      </c>
    </row>
    <row r="2" spans="1:16" x14ac:dyDescent="0.2">
      <c r="I2" s="23" t="s">
        <v>51</v>
      </c>
      <c r="J2" s="24" t="s">
        <v>52</v>
      </c>
    </row>
    <row r="3" spans="1:16" x14ac:dyDescent="0.2">
      <c r="A3" s="25" t="s">
        <v>53</v>
      </c>
      <c r="I3" s="23" t="s">
        <v>54</v>
      </c>
      <c r="J3" s="24" t="s">
        <v>55</v>
      </c>
    </row>
    <row r="4" spans="1:16" x14ac:dyDescent="0.2">
      <c r="I4" s="23" t="s">
        <v>56</v>
      </c>
      <c r="J4" s="24" t="s">
        <v>55</v>
      </c>
    </row>
    <row r="5" spans="1:16" ht="13.5" thickBot="1" x14ac:dyDescent="0.25">
      <c r="I5" s="26" t="s">
        <v>57</v>
      </c>
      <c r="J5" s="27" t="s">
        <v>58</v>
      </c>
    </row>
    <row r="10" spans="1:16" ht="13.5" thickBot="1" x14ac:dyDescent="0.25"/>
    <row r="11" spans="1:16" ht="12.75" customHeight="1" thickBot="1" x14ac:dyDescent="0.25">
      <c r="A11" s="20" t="str">
        <f t="shared" ref="A11:A45" si="0">P11</f>
        <v>BAVM 152 </v>
      </c>
      <c r="B11" s="4" t="str">
        <f t="shared" ref="B11:B45" si="1">IF(H11=INT(H11),"I","II")</f>
        <v>I</v>
      </c>
      <c r="C11" s="20">
        <f t="shared" ref="C11:C45" si="2">1*G11</f>
        <v>51708.449399999998</v>
      </c>
      <c r="D11" s="3" t="str">
        <f t="shared" ref="D11:D45" si="3">VLOOKUP(F11,I$1:J$5,2,FALSE)</f>
        <v>vis</v>
      </c>
      <c r="E11" s="28">
        <f>VLOOKUP(C11,'Active 1'!C$21:E$973,3,FALSE)</f>
        <v>-660.00284067851635</v>
      </c>
      <c r="F11" s="4" t="s">
        <v>57</v>
      </c>
      <c r="G11" s="3" t="str">
        <f t="shared" ref="G11:G45" si="4">MID(I11,3,LEN(I11)-3)</f>
        <v>51708.4494</v>
      </c>
      <c r="H11" s="20">
        <f t="shared" ref="H11:H45" si="5">1*K11</f>
        <v>-230</v>
      </c>
      <c r="I11" s="29" t="s">
        <v>97</v>
      </c>
      <c r="J11" s="30" t="s">
        <v>98</v>
      </c>
      <c r="K11" s="29">
        <v>-230</v>
      </c>
      <c r="L11" s="29" t="s">
        <v>99</v>
      </c>
      <c r="M11" s="30" t="s">
        <v>62</v>
      </c>
      <c r="N11" s="30" t="s">
        <v>57</v>
      </c>
      <c r="O11" s="31" t="s">
        <v>100</v>
      </c>
      <c r="P11" s="32" t="s">
        <v>101</v>
      </c>
    </row>
    <row r="12" spans="1:16" ht="12.75" customHeight="1" thickBot="1" x14ac:dyDescent="0.25">
      <c r="A12" s="20" t="str">
        <f t="shared" si="0"/>
        <v>IBVS 5978 </v>
      </c>
      <c r="B12" s="4" t="str">
        <f t="shared" si="1"/>
        <v>I</v>
      </c>
      <c r="C12" s="20">
        <f t="shared" si="2"/>
        <v>53885.327599999997</v>
      </c>
      <c r="D12" s="3" t="str">
        <f t="shared" si="3"/>
        <v>vis</v>
      </c>
      <c r="E12" s="28">
        <f>VLOOKUP(C12,'Active 1'!C$21:E$973,3,FALSE)</f>
        <v>-29.001704407109955</v>
      </c>
      <c r="F12" s="4" t="s">
        <v>57</v>
      </c>
      <c r="G12" s="3" t="str">
        <f t="shared" si="4"/>
        <v>53885.3276</v>
      </c>
      <c r="H12" s="20">
        <f t="shared" si="5"/>
        <v>401</v>
      </c>
      <c r="I12" s="29" t="s">
        <v>102</v>
      </c>
      <c r="J12" s="30" t="s">
        <v>103</v>
      </c>
      <c r="K12" s="29">
        <v>401</v>
      </c>
      <c r="L12" s="29" t="s">
        <v>104</v>
      </c>
      <c r="M12" s="30" t="s">
        <v>62</v>
      </c>
      <c r="N12" s="30" t="s">
        <v>105</v>
      </c>
      <c r="O12" s="31" t="s">
        <v>106</v>
      </c>
      <c r="P12" s="32" t="s">
        <v>107</v>
      </c>
    </row>
    <row r="13" spans="1:16" ht="12.75" customHeight="1" thickBot="1" x14ac:dyDescent="0.25">
      <c r="A13" s="20" t="str">
        <f t="shared" si="0"/>
        <v>IBVS 5978 </v>
      </c>
      <c r="B13" s="4" t="str">
        <f t="shared" si="1"/>
        <v>II</v>
      </c>
      <c r="C13" s="20">
        <f t="shared" si="2"/>
        <v>53911.339099999997</v>
      </c>
      <c r="D13" s="3" t="str">
        <f t="shared" si="3"/>
        <v>vis</v>
      </c>
      <c r="E13" s="28">
        <f>VLOOKUP(C13,'Active 1'!C$21:E$973,3,FALSE)</f>
        <v>-21.461876934849897</v>
      </c>
      <c r="F13" s="4" t="s">
        <v>57</v>
      </c>
      <c r="G13" s="3" t="str">
        <f t="shared" si="4"/>
        <v>53911.3391</v>
      </c>
      <c r="H13" s="20">
        <f t="shared" si="5"/>
        <v>408.5</v>
      </c>
      <c r="I13" s="29" t="s">
        <v>108</v>
      </c>
      <c r="J13" s="30" t="s">
        <v>109</v>
      </c>
      <c r="K13" s="29">
        <v>408.5</v>
      </c>
      <c r="L13" s="29" t="s">
        <v>110</v>
      </c>
      <c r="M13" s="30" t="s">
        <v>62</v>
      </c>
      <c r="N13" s="30" t="s">
        <v>105</v>
      </c>
      <c r="O13" s="31" t="s">
        <v>106</v>
      </c>
      <c r="P13" s="32" t="s">
        <v>107</v>
      </c>
    </row>
    <row r="14" spans="1:16" ht="12.75" customHeight="1" thickBot="1" x14ac:dyDescent="0.25">
      <c r="A14" s="20" t="str">
        <f t="shared" si="0"/>
        <v>IBVS 5978 </v>
      </c>
      <c r="B14" s="4" t="str">
        <f t="shared" si="1"/>
        <v>II</v>
      </c>
      <c r="C14" s="20">
        <f t="shared" si="2"/>
        <v>53942.387499999997</v>
      </c>
      <c r="D14" s="3" t="str">
        <f t="shared" si="3"/>
        <v>vis</v>
      </c>
      <c r="E14" s="28">
        <f>VLOOKUP(C14,'Active 1'!C$21:E$973,3,FALSE)</f>
        <v>-12.462027664730453</v>
      </c>
      <c r="F14" s="4" t="s">
        <v>57</v>
      </c>
      <c r="G14" s="3" t="str">
        <f t="shared" si="4"/>
        <v>53942.3875</v>
      </c>
      <c r="H14" s="20">
        <f t="shared" si="5"/>
        <v>417.5</v>
      </c>
      <c r="I14" s="29" t="s">
        <v>111</v>
      </c>
      <c r="J14" s="30" t="s">
        <v>112</v>
      </c>
      <c r="K14" s="29">
        <v>417.5</v>
      </c>
      <c r="L14" s="29" t="s">
        <v>113</v>
      </c>
      <c r="M14" s="30" t="s">
        <v>62</v>
      </c>
      <c r="N14" s="30" t="s">
        <v>105</v>
      </c>
      <c r="O14" s="31" t="s">
        <v>106</v>
      </c>
      <c r="P14" s="32" t="s">
        <v>107</v>
      </c>
    </row>
    <row r="15" spans="1:16" ht="12.75" customHeight="1" thickBot="1" x14ac:dyDescent="0.25">
      <c r="A15" s="20" t="str">
        <f t="shared" si="0"/>
        <v>IBVS 5978 </v>
      </c>
      <c r="B15" s="4" t="str">
        <f t="shared" si="1"/>
        <v>II</v>
      </c>
      <c r="C15" s="20">
        <f t="shared" si="2"/>
        <v>54287.375</v>
      </c>
      <c r="D15" s="3" t="str">
        <f t="shared" si="3"/>
        <v>vis</v>
      </c>
      <c r="E15" s="28">
        <f>VLOOKUP(C15,'Active 1'!C$21:E$973,3,FALSE)</f>
        <v>87.537827402693026</v>
      </c>
      <c r="F15" s="4" t="s">
        <v>57</v>
      </c>
      <c r="G15" s="3" t="str">
        <f t="shared" si="4"/>
        <v>54287.3750</v>
      </c>
      <c r="H15" s="20">
        <f t="shared" si="5"/>
        <v>517.5</v>
      </c>
      <c r="I15" s="29" t="s">
        <v>114</v>
      </c>
      <c r="J15" s="30" t="s">
        <v>115</v>
      </c>
      <c r="K15" s="29">
        <v>517.5</v>
      </c>
      <c r="L15" s="29" t="s">
        <v>116</v>
      </c>
      <c r="M15" s="30" t="s">
        <v>62</v>
      </c>
      <c r="N15" s="30" t="s">
        <v>105</v>
      </c>
      <c r="O15" s="31" t="s">
        <v>106</v>
      </c>
      <c r="P15" s="32" t="s">
        <v>107</v>
      </c>
    </row>
    <row r="16" spans="1:16" ht="12.75" customHeight="1" thickBot="1" x14ac:dyDescent="0.25">
      <c r="A16" s="20" t="str">
        <f t="shared" si="0"/>
        <v>IBVS 5978 </v>
      </c>
      <c r="B16" s="4" t="str">
        <f t="shared" si="1"/>
        <v>I</v>
      </c>
      <c r="C16" s="20">
        <f t="shared" si="2"/>
        <v>54292.413800000002</v>
      </c>
      <c r="D16" s="3" t="str">
        <f t="shared" si="3"/>
        <v>vis</v>
      </c>
      <c r="E16" s="28">
        <f>VLOOKUP(C16,'Active 1'!C$21:E$973,3,FALSE)</f>
        <v>88.998399944347256</v>
      </c>
      <c r="F16" s="4" t="s">
        <v>57</v>
      </c>
      <c r="G16" s="3" t="str">
        <f t="shared" si="4"/>
        <v>54292.4138</v>
      </c>
      <c r="H16" s="20">
        <f t="shared" si="5"/>
        <v>519</v>
      </c>
      <c r="I16" s="29" t="s">
        <v>117</v>
      </c>
      <c r="J16" s="30" t="s">
        <v>118</v>
      </c>
      <c r="K16" s="29">
        <v>519</v>
      </c>
      <c r="L16" s="29" t="s">
        <v>119</v>
      </c>
      <c r="M16" s="30" t="s">
        <v>62</v>
      </c>
      <c r="N16" s="30" t="s">
        <v>105</v>
      </c>
      <c r="O16" s="31" t="s">
        <v>106</v>
      </c>
      <c r="P16" s="32" t="s">
        <v>107</v>
      </c>
    </row>
    <row r="17" spans="1:16" ht="12.75" customHeight="1" thickBot="1" x14ac:dyDescent="0.25">
      <c r="A17" s="20" t="str">
        <f t="shared" si="0"/>
        <v>IBVS 5910 </v>
      </c>
      <c r="B17" s="4" t="str">
        <f t="shared" si="1"/>
        <v>I</v>
      </c>
      <c r="C17" s="20">
        <f t="shared" si="2"/>
        <v>54616.703099999999</v>
      </c>
      <c r="D17" s="3" t="str">
        <f t="shared" si="3"/>
        <v>vis</v>
      </c>
      <c r="E17" s="28">
        <f>VLOOKUP(C17,'Active 1'!C$21:E$973,3,FALSE)</f>
        <v>182.99856806613604</v>
      </c>
      <c r="F17" s="4" t="s">
        <v>57</v>
      </c>
      <c r="G17" s="3" t="str">
        <f t="shared" si="4"/>
        <v>54616.7031</v>
      </c>
      <c r="H17" s="20">
        <f t="shared" si="5"/>
        <v>613</v>
      </c>
      <c r="I17" s="29" t="s">
        <v>132</v>
      </c>
      <c r="J17" s="30" t="s">
        <v>133</v>
      </c>
      <c r="K17" s="29">
        <v>613</v>
      </c>
      <c r="L17" s="29" t="s">
        <v>134</v>
      </c>
      <c r="M17" s="30" t="s">
        <v>123</v>
      </c>
      <c r="N17" s="30" t="s">
        <v>57</v>
      </c>
      <c r="O17" s="31" t="s">
        <v>135</v>
      </c>
      <c r="P17" s="32" t="s">
        <v>136</v>
      </c>
    </row>
    <row r="18" spans="1:16" ht="12.75" customHeight="1" thickBot="1" x14ac:dyDescent="0.25">
      <c r="A18" s="20" t="str">
        <f t="shared" si="0"/>
        <v>IBVS 5910 </v>
      </c>
      <c r="B18" s="4" t="str">
        <f t="shared" si="1"/>
        <v>I</v>
      </c>
      <c r="C18" s="20">
        <f t="shared" si="2"/>
        <v>54616.703200000004</v>
      </c>
      <c r="D18" s="3" t="str">
        <f t="shared" si="3"/>
        <v>vis</v>
      </c>
      <c r="E18" s="28">
        <f>VLOOKUP(C18,'Active 1'!C$21:E$973,3,FALSE)</f>
        <v>182.99859705265291</v>
      </c>
      <c r="F18" s="4" t="s">
        <v>57</v>
      </c>
      <c r="G18" s="3" t="str">
        <f t="shared" si="4"/>
        <v>54616.7032</v>
      </c>
      <c r="H18" s="20">
        <f t="shared" si="5"/>
        <v>613</v>
      </c>
      <c r="I18" s="29" t="s">
        <v>137</v>
      </c>
      <c r="J18" s="30" t="s">
        <v>133</v>
      </c>
      <c r="K18" s="29">
        <v>613</v>
      </c>
      <c r="L18" s="29" t="s">
        <v>104</v>
      </c>
      <c r="M18" s="30" t="s">
        <v>123</v>
      </c>
      <c r="N18" s="30" t="s">
        <v>57</v>
      </c>
      <c r="O18" s="31" t="s">
        <v>135</v>
      </c>
      <c r="P18" s="32" t="s">
        <v>136</v>
      </c>
    </row>
    <row r="19" spans="1:16" ht="12.75" customHeight="1" thickBot="1" x14ac:dyDescent="0.25">
      <c r="A19" s="20" t="str">
        <f t="shared" si="0"/>
        <v>IBVS 5978 </v>
      </c>
      <c r="B19" s="4" t="str">
        <f t="shared" si="1"/>
        <v>II</v>
      </c>
      <c r="C19" s="20">
        <f t="shared" si="2"/>
        <v>54670.315499999997</v>
      </c>
      <c r="D19" s="3" t="str">
        <f t="shared" si="3"/>
        <v>vis</v>
      </c>
      <c r="E19" s="28">
        <f>VLOOKUP(C19,'Active 1'!C$21:E$973,3,FALSE)</f>
        <v>198.53893468758324</v>
      </c>
      <c r="F19" s="4" t="s">
        <v>57</v>
      </c>
      <c r="G19" s="3" t="str">
        <f t="shared" si="4"/>
        <v>54670.3155</v>
      </c>
      <c r="H19" s="20">
        <f t="shared" si="5"/>
        <v>628.5</v>
      </c>
      <c r="I19" s="29" t="s">
        <v>138</v>
      </c>
      <c r="J19" s="30" t="s">
        <v>139</v>
      </c>
      <c r="K19" s="29">
        <v>628.5</v>
      </c>
      <c r="L19" s="29" t="s">
        <v>140</v>
      </c>
      <c r="M19" s="30" t="s">
        <v>62</v>
      </c>
      <c r="N19" s="30" t="s">
        <v>141</v>
      </c>
      <c r="O19" s="31" t="s">
        <v>106</v>
      </c>
      <c r="P19" s="32" t="s">
        <v>107</v>
      </c>
    </row>
    <row r="20" spans="1:16" ht="12.75" customHeight="1" thickBot="1" x14ac:dyDescent="0.25">
      <c r="A20" s="20" t="str">
        <f t="shared" si="0"/>
        <v>IBVS 5978 </v>
      </c>
      <c r="B20" s="4" t="str">
        <f t="shared" si="1"/>
        <v>I</v>
      </c>
      <c r="C20" s="20">
        <f t="shared" si="2"/>
        <v>54675.351699999999</v>
      </c>
      <c r="D20" s="3" t="str">
        <f t="shared" si="3"/>
        <v>vis</v>
      </c>
      <c r="E20" s="28">
        <f>VLOOKUP(C20,'Active 1'!C$21:E$973,3,FALSE)</f>
        <v>199.99875357983521</v>
      </c>
      <c r="F20" s="4" t="s">
        <v>57</v>
      </c>
      <c r="G20" s="3" t="str">
        <f t="shared" si="4"/>
        <v>54675.3517</v>
      </c>
      <c r="H20" s="20">
        <f t="shared" si="5"/>
        <v>630</v>
      </c>
      <c r="I20" s="29" t="s">
        <v>142</v>
      </c>
      <c r="J20" s="30" t="s">
        <v>143</v>
      </c>
      <c r="K20" s="29">
        <v>630</v>
      </c>
      <c r="L20" s="29" t="s">
        <v>144</v>
      </c>
      <c r="M20" s="30" t="s">
        <v>62</v>
      </c>
      <c r="N20" s="30" t="s">
        <v>141</v>
      </c>
      <c r="O20" s="31" t="s">
        <v>106</v>
      </c>
      <c r="P20" s="32" t="s">
        <v>107</v>
      </c>
    </row>
    <row r="21" spans="1:16" ht="12.75" customHeight="1" thickBot="1" x14ac:dyDescent="0.25">
      <c r="A21" s="20" t="str">
        <f t="shared" si="0"/>
        <v>IBVS 5978 </v>
      </c>
      <c r="B21" s="4" t="str">
        <f t="shared" si="1"/>
        <v>II</v>
      </c>
      <c r="C21" s="20">
        <f t="shared" si="2"/>
        <v>55384.436999999998</v>
      </c>
      <c r="D21" s="3" t="str">
        <f t="shared" si="3"/>
        <v>vis</v>
      </c>
      <c r="E21" s="28">
        <f>VLOOKUP(C21,'Active 1'!C$21:E$973,3,FALSE)</f>
        <v>405.53787378111724</v>
      </c>
      <c r="F21" s="4" t="s">
        <v>57</v>
      </c>
      <c r="G21" s="3" t="str">
        <f t="shared" si="4"/>
        <v>55384.4370</v>
      </c>
      <c r="H21" s="20">
        <f t="shared" si="5"/>
        <v>835.5</v>
      </c>
      <c r="I21" s="29" t="s">
        <v>154</v>
      </c>
      <c r="J21" s="30" t="s">
        <v>155</v>
      </c>
      <c r="K21" s="29">
        <v>835.5</v>
      </c>
      <c r="L21" s="29" t="s">
        <v>156</v>
      </c>
      <c r="M21" s="30" t="s">
        <v>62</v>
      </c>
      <c r="N21" s="30" t="s">
        <v>105</v>
      </c>
      <c r="O21" s="31" t="s">
        <v>106</v>
      </c>
      <c r="P21" s="32" t="s">
        <v>107</v>
      </c>
    </row>
    <row r="22" spans="1:16" ht="12.75" customHeight="1" thickBot="1" x14ac:dyDescent="0.25">
      <c r="A22" s="20" t="str">
        <f t="shared" si="0"/>
        <v>IBVS 5978 </v>
      </c>
      <c r="B22" s="4" t="str">
        <f t="shared" si="1"/>
        <v>I</v>
      </c>
      <c r="C22" s="20">
        <f t="shared" si="2"/>
        <v>55396.377999999997</v>
      </c>
      <c r="D22" s="3" t="str">
        <f t="shared" si="3"/>
        <v>vis</v>
      </c>
      <c r="E22" s="28">
        <f>VLOOKUP(C22,'Active 1'!C$21:E$973,3,FALSE)</f>
        <v>408.99915359374808</v>
      </c>
      <c r="F22" s="4" t="s">
        <v>57</v>
      </c>
      <c r="G22" s="3" t="str">
        <f t="shared" si="4"/>
        <v>55396.3780</v>
      </c>
      <c r="H22" s="20">
        <f t="shared" si="5"/>
        <v>839</v>
      </c>
      <c r="I22" s="29" t="s">
        <v>157</v>
      </c>
      <c r="J22" s="30" t="s">
        <v>158</v>
      </c>
      <c r="K22" s="29">
        <v>839</v>
      </c>
      <c r="L22" s="29" t="s">
        <v>159</v>
      </c>
      <c r="M22" s="30" t="s">
        <v>62</v>
      </c>
      <c r="N22" s="30" t="s">
        <v>105</v>
      </c>
      <c r="O22" s="31" t="s">
        <v>106</v>
      </c>
      <c r="P22" s="32" t="s">
        <v>107</v>
      </c>
    </row>
    <row r="23" spans="1:16" ht="12.75" customHeight="1" thickBot="1" x14ac:dyDescent="0.25">
      <c r="A23" s="20" t="str">
        <f t="shared" si="0"/>
        <v>IBVS 6014 </v>
      </c>
      <c r="B23" s="4" t="str">
        <f t="shared" si="1"/>
        <v>I</v>
      </c>
      <c r="C23" s="20">
        <f t="shared" si="2"/>
        <v>55630.969700000001</v>
      </c>
      <c r="D23" s="3" t="str">
        <f t="shared" si="3"/>
        <v>vis</v>
      </c>
      <c r="E23" s="28">
        <f>VLOOKUP(C23,'Active 1'!C$21:E$973,3,FALSE)</f>
        <v>476.99911301262773</v>
      </c>
      <c r="F23" s="4" t="s">
        <v>57</v>
      </c>
      <c r="G23" s="3" t="str">
        <f t="shared" si="4"/>
        <v>55630.9697</v>
      </c>
      <c r="H23" s="20">
        <f t="shared" si="5"/>
        <v>907</v>
      </c>
      <c r="I23" s="29" t="s">
        <v>165</v>
      </c>
      <c r="J23" s="30" t="s">
        <v>166</v>
      </c>
      <c r="K23" s="29">
        <v>907</v>
      </c>
      <c r="L23" s="29" t="s">
        <v>167</v>
      </c>
      <c r="M23" s="30" t="s">
        <v>123</v>
      </c>
      <c r="N23" s="30" t="s">
        <v>57</v>
      </c>
      <c r="O23" s="31" t="s">
        <v>135</v>
      </c>
      <c r="P23" s="32" t="s">
        <v>168</v>
      </c>
    </row>
    <row r="24" spans="1:16" ht="12.75" customHeight="1" thickBot="1" x14ac:dyDescent="0.25">
      <c r="A24" s="20" t="str">
        <f t="shared" si="0"/>
        <v>IBVS 6014 </v>
      </c>
      <c r="B24" s="4" t="str">
        <f t="shared" si="1"/>
        <v>II</v>
      </c>
      <c r="C24" s="20">
        <f t="shared" si="2"/>
        <v>55694.921199999997</v>
      </c>
      <c r="D24" s="3" t="str">
        <f t="shared" si="3"/>
        <v>vis</v>
      </c>
      <c r="E24" s="28">
        <f>VLOOKUP(C24,'Active 1'!C$21:E$973,3,FALSE)</f>
        <v>495.53642445534331</v>
      </c>
      <c r="F24" s="4" t="s">
        <v>57</v>
      </c>
      <c r="G24" s="3" t="str">
        <f t="shared" si="4"/>
        <v>55694.9212</v>
      </c>
      <c r="H24" s="20">
        <f t="shared" si="5"/>
        <v>925.5</v>
      </c>
      <c r="I24" s="29" t="s">
        <v>169</v>
      </c>
      <c r="J24" s="30" t="s">
        <v>170</v>
      </c>
      <c r="K24" s="29">
        <v>925.5</v>
      </c>
      <c r="L24" s="29" t="s">
        <v>171</v>
      </c>
      <c r="M24" s="30" t="s">
        <v>123</v>
      </c>
      <c r="N24" s="30" t="s">
        <v>57</v>
      </c>
      <c r="O24" s="31" t="s">
        <v>135</v>
      </c>
      <c r="P24" s="32" t="s">
        <v>168</v>
      </c>
    </row>
    <row r="25" spans="1:16" ht="12.75" customHeight="1" thickBot="1" x14ac:dyDescent="0.25">
      <c r="A25" s="20" t="str">
        <f t="shared" si="0"/>
        <v>OEJV 0160 </v>
      </c>
      <c r="B25" s="4" t="str">
        <f t="shared" si="1"/>
        <v>I</v>
      </c>
      <c r="C25" s="20">
        <f t="shared" si="2"/>
        <v>55734.466070000002</v>
      </c>
      <c r="D25" s="3" t="str">
        <f t="shared" si="3"/>
        <v>vis</v>
      </c>
      <c r="E25" s="28">
        <f>VLOOKUP(C25,'Active 1'!C$21:E$973,3,FALSE)</f>
        <v>506.99910431667331</v>
      </c>
      <c r="F25" s="4" t="s">
        <v>57</v>
      </c>
      <c r="G25" s="3" t="str">
        <f t="shared" si="4"/>
        <v>55734.46607</v>
      </c>
      <c r="H25" s="20">
        <f t="shared" si="5"/>
        <v>937</v>
      </c>
      <c r="I25" s="29" t="s">
        <v>172</v>
      </c>
      <c r="J25" s="30" t="s">
        <v>173</v>
      </c>
      <c r="K25" s="29">
        <v>937</v>
      </c>
      <c r="L25" s="29" t="s">
        <v>174</v>
      </c>
      <c r="M25" s="30" t="s">
        <v>123</v>
      </c>
      <c r="N25" s="30" t="s">
        <v>57</v>
      </c>
      <c r="O25" s="31" t="s">
        <v>175</v>
      </c>
      <c r="P25" s="32" t="s">
        <v>176</v>
      </c>
    </row>
    <row r="26" spans="1:16" ht="12.75" customHeight="1" thickBot="1" x14ac:dyDescent="0.25">
      <c r="A26" s="20" t="str">
        <f t="shared" si="0"/>
        <v>OEJV 0160 </v>
      </c>
      <c r="B26" s="4" t="str">
        <f t="shared" si="1"/>
        <v>I</v>
      </c>
      <c r="C26" s="20">
        <f t="shared" si="2"/>
        <v>55734.46617</v>
      </c>
      <c r="D26" s="3" t="str">
        <f t="shared" si="3"/>
        <v>vis</v>
      </c>
      <c r="E26" s="28">
        <f>VLOOKUP(C26,'Active 1'!C$21:E$973,3,FALSE)</f>
        <v>506.99913330318805</v>
      </c>
      <c r="F26" s="4" t="s">
        <v>57</v>
      </c>
      <c r="G26" s="3" t="str">
        <f t="shared" si="4"/>
        <v>55734.46617</v>
      </c>
      <c r="H26" s="20">
        <f t="shared" si="5"/>
        <v>937</v>
      </c>
      <c r="I26" s="29" t="s">
        <v>177</v>
      </c>
      <c r="J26" s="30" t="s">
        <v>173</v>
      </c>
      <c r="K26" s="29">
        <v>937</v>
      </c>
      <c r="L26" s="29" t="s">
        <v>178</v>
      </c>
      <c r="M26" s="30" t="s">
        <v>123</v>
      </c>
      <c r="N26" s="30" t="s">
        <v>128</v>
      </c>
      <c r="O26" s="31" t="s">
        <v>175</v>
      </c>
      <c r="P26" s="32" t="s">
        <v>176</v>
      </c>
    </row>
    <row r="27" spans="1:16" ht="12.75" customHeight="1" thickBot="1" x14ac:dyDescent="0.25">
      <c r="A27" s="20" t="str">
        <f t="shared" si="0"/>
        <v>OEJV 0160 </v>
      </c>
      <c r="B27" s="4" t="str">
        <f t="shared" si="1"/>
        <v>I</v>
      </c>
      <c r="C27" s="20">
        <f t="shared" si="2"/>
        <v>55734.466269999997</v>
      </c>
      <c r="D27" s="3" t="str">
        <f t="shared" si="3"/>
        <v>vis</v>
      </c>
      <c r="E27" s="28">
        <f>VLOOKUP(C27,'Active 1'!C$21:E$973,3,FALSE)</f>
        <v>506.99916228970278</v>
      </c>
      <c r="F27" s="4" t="s">
        <v>57</v>
      </c>
      <c r="G27" s="3" t="str">
        <f t="shared" si="4"/>
        <v>55734.46627</v>
      </c>
      <c r="H27" s="20">
        <f t="shared" si="5"/>
        <v>937</v>
      </c>
      <c r="I27" s="29" t="s">
        <v>179</v>
      </c>
      <c r="J27" s="30" t="s">
        <v>173</v>
      </c>
      <c r="K27" s="29">
        <v>937</v>
      </c>
      <c r="L27" s="29" t="s">
        <v>180</v>
      </c>
      <c r="M27" s="30" t="s">
        <v>123</v>
      </c>
      <c r="N27" s="30" t="s">
        <v>40</v>
      </c>
      <c r="O27" s="31" t="s">
        <v>175</v>
      </c>
      <c r="P27" s="32" t="s">
        <v>176</v>
      </c>
    </row>
    <row r="28" spans="1:16" ht="12.75" customHeight="1" thickBot="1" x14ac:dyDescent="0.25">
      <c r="A28" s="20" t="str">
        <f t="shared" si="0"/>
        <v>IBVS 4536 </v>
      </c>
      <c r="B28" s="4" t="str">
        <f t="shared" si="1"/>
        <v>I</v>
      </c>
      <c r="C28" s="20">
        <f t="shared" si="2"/>
        <v>47907.1</v>
      </c>
      <c r="D28" s="3" t="str">
        <f t="shared" si="3"/>
        <v>vis</v>
      </c>
      <c r="E28" s="28">
        <f>VLOOKUP(C28,'Active 1'!C$21:E$973,3,FALSE)</f>
        <v>-1761.8815726923833</v>
      </c>
      <c r="F28" s="4" t="s">
        <v>57</v>
      </c>
      <c r="G28" s="3" t="str">
        <f t="shared" si="4"/>
        <v>47907.100</v>
      </c>
      <c r="H28" s="20">
        <f t="shared" si="5"/>
        <v>-1332</v>
      </c>
      <c r="I28" s="29" t="s">
        <v>59</v>
      </c>
      <c r="J28" s="30" t="s">
        <v>60</v>
      </c>
      <c r="K28" s="29">
        <v>-1332</v>
      </c>
      <c r="L28" s="29" t="s">
        <v>61</v>
      </c>
      <c r="M28" s="30" t="s">
        <v>62</v>
      </c>
      <c r="N28" s="30" t="s">
        <v>63</v>
      </c>
      <c r="O28" s="31" t="s">
        <v>64</v>
      </c>
      <c r="P28" s="32" t="s">
        <v>65</v>
      </c>
    </row>
    <row r="29" spans="1:16" ht="12.75" customHeight="1" thickBot="1" x14ac:dyDescent="0.25">
      <c r="A29" s="20" t="str">
        <f t="shared" si="0"/>
        <v>IBVS 4536 </v>
      </c>
      <c r="B29" s="4" t="str">
        <f t="shared" si="1"/>
        <v>II</v>
      </c>
      <c r="C29" s="20">
        <f t="shared" si="2"/>
        <v>48257.072</v>
      </c>
      <c r="D29" s="3" t="str">
        <f t="shared" si="3"/>
        <v>vis</v>
      </c>
      <c r="E29" s="28">
        <f>VLOOKUP(C29,'Active 1'!C$21:E$973,3,FALSE)</f>
        <v>-1660.4368847612084</v>
      </c>
      <c r="F29" s="4" t="s">
        <v>57</v>
      </c>
      <c r="G29" s="3" t="str">
        <f t="shared" si="4"/>
        <v>48257.072</v>
      </c>
      <c r="H29" s="20">
        <f t="shared" si="5"/>
        <v>-1230.5</v>
      </c>
      <c r="I29" s="29" t="s">
        <v>66</v>
      </c>
      <c r="J29" s="30" t="s">
        <v>67</v>
      </c>
      <c r="K29" s="29">
        <v>-1230.5</v>
      </c>
      <c r="L29" s="29" t="s">
        <v>68</v>
      </c>
      <c r="M29" s="30" t="s">
        <v>62</v>
      </c>
      <c r="N29" s="30" t="s">
        <v>63</v>
      </c>
      <c r="O29" s="31" t="s">
        <v>64</v>
      </c>
      <c r="P29" s="32" t="s">
        <v>65</v>
      </c>
    </row>
    <row r="30" spans="1:16" ht="12.75" customHeight="1" thickBot="1" x14ac:dyDescent="0.25">
      <c r="A30" s="20" t="str">
        <f t="shared" si="0"/>
        <v>IBVS 4536 </v>
      </c>
      <c r="B30" s="4" t="str">
        <f t="shared" si="1"/>
        <v>I</v>
      </c>
      <c r="C30" s="20">
        <f t="shared" si="2"/>
        <v>48265.873</v>
      </c>
      <c r="D30" s="3" t="str">
        <f t="shared" si="3"/>
        <v>vis</v>
      </c>
      <c r="E30" s="28">
        <f>VLOOKUP(C30,'Active 1'!C$21:E$973,3,FALSE)</f>
        <v>-1657.8857815344297</v>
      </c>
      <c r="F30" s="4" t="s">
        <v>57</v>
      </c>
      <c r="G30" s="3" t="str">
        <f t="shared" si="4"/>
        <v>48265.873</v>
      </c>
      <c r="H30" s="20">
        <f t="shared" si="5"/>
        <v>-1228</v>
      </c>
      <c r="I30" s="29" t="s">
        <v>69</v>
      </c>
      <c r="J30" s="30" t="s">
        <v>70</v>
      </c>
      <c r="K30" s="29">
        <v>-1228</v>
      </c>
      <c r="L30" s="29" t="s">
        <v>71</v>
      </c>
      <c r="M30" s="30" t="s">
        <v>62</v>
      </c>
      <c r="N30" s="30" t="s">
        <v>63</v>
      </c>
      <c r="O30" s="31" t="s">
        <v>64</v>
      </c>
      <c r="P30" s="32" t="s">
        <v>65</v>
      </c>
    </row>
    <row r="31" spans="1:16" ht="12.75" customHeight="1" thickBot="1" x14ac:dyDescent="0.25">
      <c r="A31" s="20" t="str">
        <f t="shared" si="0"/>
        <v>BAVM 107 </v>
      </c>
      <c r="B31" s="4" t="str">
        <f t="shared" si="1"/>
        <v>I</v>
      </c>
      <c r="C31" s="20">
        <f t="shared" si="2"/>
        <v>50304.35</v>
      </c>
      <c r="D31" s="3" t="str">
        <f t="shared" si="3"/>
        <v>vis</v>
      </c>
      <c r="E31" s="28">
        <f>VLOOKUP(C31,'Active 1'!C$21:E$973,3,FALSE)</f>
        <v>-1067.0023305158438</v>
      </c>
      <c r="F31" s="4" t="s">
        <v>57</v>
      </c>
      <c r="G31" s="3" t="str">
        <f t="shared" si="4"/>
        <v>50304.35</v>
      </c>
      <c r="H31" s="20">
        <f t="shared" si="5"/>
        <v>-637</v>
      </c>
      <c r="I31" s="29" t="s">
        <v>72</v>
      </c>
      <c r="J31" s="30" t="s">
        <v>73</v>
      </c>
      <c r="K31" s="29">
        <v>-637</v>
      </c>
      <c r="L31" s="29" t="s">
        <v>74</v>
      </c>
      <c r="M31" s="30" t="s">
        <v>75</v>
      </c>
      <c r="N31" s="30"/>
      <c r="O31" s="31" t="s">
        <v>76</v>
      </c>
      <c r="P31" s="32" t="s">
        <v>77</v>
      </c>
    </row>
    <row r="32" spans="1:16" ht="12.75" customHeight="1" thickBot="1" x14ac:dyDescent="0.25">
      <c r="A32" s="20" t="str">
        <f t="shared" si="0"/>
        <v>BAVM 107 </v>
      </c>
      <c r="B32" s="4" t="str">
        <f t="shared" si="1"/>
        <v>I</v>
      </c>
      <c r="C32" s="20">
        <f t="shared" si="2"/>
        <v>50604.5</v>
      </c>
      <c r="D32" s="3" t="str">
        <f t="shared" si="3"/>
        <v>vis</v>
      </c>
      <c r="E32" s="28">
        <f>VLOOKUP(C32,'Active 1'!C$21:E$973,3,FALSE)</f>
        <v>-979.99930432362794</v>
      </c>
      <c r="F32" s="4" t="s">
        <v>57</v>
      </c>
      <c r="G32" s="3" t="str">
        <f t="shared" si="4"/>
        <v>50604.50</v>
      </c>
      <c r="H32" s="20">
        <f t="shared" si="5"/>
        <v>-550</v>
      </c>
      <c r="I32" s="29" t="s">
        <v>78</v>
      </c>
      <c r="J32" s="30" t="s">
        <v>79</v>
      </c>
      <c r="K32" s="29">
        <v>-550</v>
      </c>
      <c r="L32" s="29" t="s">
        <v>80</v>
      </c>
      <c r="M32" s="30" t="s">
        <v>75</v>
      </c>
      <c r="N32" s="30"/>
      <c r="O32" s="31" t="s">
        <v>76</v>
      </c>
      <c r="P32" s="32" t="s">
        <v>77</v>
      </c>
    </row>
    <row r="33" spans="1:16" ht="12.75" customHeight="1" thickBot="1" x14ac:dyDescent="0.25">
      <c r="A33" s="20" t="str">
        <f t="shared" si="0"/>
        <v>BAVM 107 </v>
      </c>
      <c r="B33" s="4" t="str">
        <f t="shared" si="1"/>
        <v>II</v>
      </c>
      <c r="C33" s="20">
        <f t="shared" si="2"/>
        <v>50606.37</v>
      </c>
      <c r="D33" s="3" t="str">
        <f t="shared" si="3"/>
        <v>vis</v>
      </c>
      <c r="E33" s="28">
        <f>VLOOKUP(C33,'Active 1'!C$21:E$973,3,FALSE)</f>
        <v>-979.45725648428208</v>
      </c>
      <c r="F33" s="4" t="s">
        <v>57</v>
      </c>
      <c r="G33" s="3" t="str">
        <f t="shared" si="4"/>
        <v>50606.37</v>
      </c>
      <c r="H33" s="20">
        <f t="shared" si="5"/>
        <v>-549.5</v>
      </c>
      <c r="I33" s="29" t="s">
        <v>81</v>
      </c>
      <c r="J33" s="30" t="s">
        <v>82</v>
      </c>
      <c r="K33" s="29">
        <v>-549.5</v>
      </c>
      <c r="L33" s="29" t="s">
        <v>80</v>
      </c>
      <c r="M33" s="30" t="s">
        <v>75</v>
      </c>
      <c r="N33" s="30"/>
      <c r="O33" s="31" t="s">
        <v>76</v>
      </c>
      <c r="P33" s="32" t="s">
        <v>77</v>
      </c>
    </row>
    <row r="34" spans="1:16" ht="12.75" customHeight="1" thickBot="1" x14ac:dyDescent="0.25">
      <c r="A34" s="20" t="str">
        <f t="shared" si="0"/>
        <v>BAVM 107 </v>
      </c>
      <c r="B34" s="4" t="str">
        <f t="shared" si="1"/>
        <v>II</v>
      </c>
      <c r="C34" s="20">
        <f t="shared" si="2"/>
        <v>50637.39</v>
      </c>
      <c r="D34" s="3" t="str">
        <f t="shared" si="3"/>
        <v>vis</v>
      </c>
      <c r="E34" s="28">
        <f>VLOOKUP(C34,'Active 1'!C$21:E$973,3,FALSE)</f>
        <v>-970.46563938455779</v>
      </c>
      <c r="F34" s="4" t="s">
        <v>57</v>
      </c>
      <c r="G34" s="3" t="str">
        <f t="shared" si="4"/>
        <v>50637.39</v>
      </c>
      <c r="H34" s="20">
        <f t="shared" si="5"/>
        <v>-540.5</v>
      </c>
      <c r="I34" s="29" t="s">
        <v>83</v>
      </c>
      <c r="J34" s="30" t="s">
        <v>84</v>
      </c>
      <c r="K34" s="29">
        <v>-540.5</v>
      </c>
      <c r="L34" s="29" t="s">
        <v>85</v>
      </c>
      <c r="M34" s="30" t="s">
        <v>75</v>
      </c>
      <c r="N34" s="30"/>
      <c r="O34" s="31" t="s">
        <v>76</v>
      </c>
      <c r="P34" s="32" t="s">
        <v>77</v>
      </c>
    </row>
    <row r="35" spans="1:16" ht="12.75" customHeight="1" thickBot="1" x14ac:dyDescent="0.25">
      <c r="A35" s="20" t="str">
        <f t="shared" si="0"/>
        <v>BAVM 107 </v>
      </c>
      <c r="B35" s="4" t="str">
        <f t="shared" si="1"/>
        <v>I</v>
      </c>
      <c r="C35" s="20">
        <f t="shared" si="2"/>
        <v>50649.35</v>
      </c>
      <c r="D35" s="3" t="str">
        <f t="shared" si="3"/>
        <v>vis</v>
      </c>
      <c r="E35" s="28">
        <f>VLOOKUP(C35,'Active 1'!C$21:E$973,3,FALSE)</f>
        <v>-966.99885213398693</v>
      </c>
      <c r="F35" s="4" t="s">
        <v>57</v>
      </c>
      <c r="G35" s="3" t="str">
        <f t="shared" si="4"/>
        <v>50649.35</v>
      </c>
      <c r="H35" s="20">
        <f t="shared" si="5"/>
        <v>-537</v>
      </c>
      <c r="I35" s="29" t="s">
        <v>86</v>
      </c>
      <c r="J35" s="30" t="s">
        <v>87</v>
      </c>
      <c r="K35" s="29">
        <v>-537</v>
      </c>
      <c r="L35" s="29" t="s">
        <v>80</v>
      </c>
      <c r="M35" s="30" t="s">
        <v>75</v>
      </c>
      <c r="N35" s="30"/>
      <c r="O35" s="31" t="s">
        <v>76</v>
      </c>
      <c r="P35" s="32" t="s">
        <v>77</v>
      </c>
    </row>
    <row r="36" spans="1:16" ht="12.75" customHeight="1" thickBot="1" x14ac:dyDescent="0.25">
      <c r="A36" s="20" t="str">
        <f t="shared" si="0"/>
        <v>BAVM 131 </v>
      </c>
      <c r="B36" s="4" t="str">
        <f t="shared" si="1"/>
        <v>I</v>
      </c>
      <c r="C36" s="20">
        <f t="shared" si="2"/>
        <v>50949.485999999997</v>
      </c>
      <c r="D36" s="3" t="str">
        <f t="shared" si="3"/>
        <v>vis</v>
      </c>
      <c r="E36" s="28">
        <f>VLOOKUP(C36,'Active 1'!C$21:E$973,3,FALSE)</f>
        <v>-879.99988405393822</v>
      </c>
      <c r="F36" s="4" t="s">
        <v>57</v>
      </c>
      <c r="G36" s="3" t="str">
        <f t="shared" si="4"/>
        <v>50949.486</v>
      </c>
      <c r="H36" s="20">
        <f t="shared" si="5"/>
        <v>-450</v>
      </c>
      <c r="I36" s="29" t="s">
        <v>88</v>
      </c>
      <c r="J36" s="30" t="s">
        <v>89</v>
      </c>
      <c r="K36" s="29">
        <v>-450</v>
      </c>
      <c r="L36" s="29" t="s">
        <v>90</v>
      </c>
      <c r="M36" s="30" t="s">
        <v>75</v>
      </c>
      <c r="N36" s="30"/>
      <c r="O36" s="31" t="s">
        <v>91</v>
      </c>
      <c r="P36" s="32" t="s">
        <v>92</v>
      </c>
    </row>
    <row r="37" spans="1:16" ht="12.75" customHeight="1" thickBot="1" x14ac:dyDescent="0.25">
      <c r="A37" s="20" t="str">
        <f t="shared" si="0"/>
        <v>BAVM 113 </v>
      </c>
      <c r="B37" s="4" t="str">
        <f t="shared" si="1"/>
        <v>I</v>
      </c>
      <c r="C37" s="20">
        <f t="shared" si="2"/>
        <v>50949.487999999998</v>
      </c>
      <c r="D37" s="3" t="str">
        <f t="shared" si="3"/>
        <v>vis</v>
      </c>
      <c r="E37" s="28">
        <f>VLOOKUP(C37,'Active 1'!C$21:E$973,3,FALSE)</f>
        <v>-879.99930432362862</v>
      </c>
      <c r="F37" s="4" t="s">
        <v>57</v>
      </c>
      <c r="G37" s="3" t="str">
        <f t="shared" si="4"/>
        <v>50949.488</v>
      </c>
      <c r="H37" s="20">
        <f t="shared" si="5"/>
        <v>-450</v>
      </c>
      <c r="I37" s="29" t="s">
        <v>93</v>
      </c>
      <c r="J37" s="30" t="s">
        <v>94</v>
      </c>
      <c r="K37" s="29">
        <v>-450</v>
      </c>
      <c r="L37" s="29" t="s">
        <v>95</v>
      </c>
      <c r="M37" s="30" t="s">
        <v>75</v>
      </c>
      <c r="N37" s="30"/>
      <c r="O37" s="31" t="s">
        <v>76</v>
      </c>
      <c r="P37" s="32" t="s">
        <v>96</v>
      </c>
    </row>
    <row r="38" spans="1:16" ht="12.75" customHeight="1" thickBot="1" x14ac:dyDescent="0.25">
      <c r="A38" s="20" t="str">
        <f t="shared" si="0"/>
        <v>OEJV 0094 </v>
      </c>
      <c r="B38" s="4" t="str">
        <f t="shared" si="1"/>
        <v>I</v>
      </c>
      <c r="C38" s="20">
        <f t="shared" si="2"/>
        <v>54599.453200000004</v>
      </c>
      <c r="D38" s="3" t="str">
        <f t="shared" si="3"/>
        <v>vis</v>
      </c>
      <c r="E38" s="28">
        <f>VLOOKUP(C38,'Active 1'!C$21:E$973,3,FALSE)</f>
        <v>177.99842313356007</v>
      </c>
      <c r="F38" s="4" t="s">
        <v>57</v>
      </c>
      <c r="G38" s="3" t="str">
        <f t="shared" si="4"/>
        <v>54599.4532</v>
      </c>
      <c r="H38" s="20">
        <f t="shared" si="5"/>
        <v>608</v>
      </c>
      <c r="I38" s="29" t="s">
        <v>120</v>
      </c>
      <c r="J38" s="30" t="s">
        <v>121</v>
      </c>
      <c r="K38" s="29">
        <v>608</v>
      </c>
      <c r="L38" s="29" t="s">
        <v>122</v>
      </c>
      <c r="M38" s="30" t="s">
        <v>123</v>
      </c>
      <c r="N38" s="30" t="s">
        <v>40</v>
      </c>
      <c r="O38" s="31" t="s">
        <v>124</v>
      </c>
      <c r="P38" s="32" t="s">
        <v>125</v>
      </c>
    </row>
    <row r="39" spans="1:16" ht="12.75" customHeight="1" thickBot="1" x14ac:dyDescent="0.25">
      <c r="A39" s="20" t="str">
        <f t="shared" si="0"/>
        <v>OEJV 0094 </v>
      </c>
      <c r="B39" s="4" t="str">
        <f t="shared" si="1"/>
        <v>I</v>
      </c>
      <c r="C39" s="20">
        <f t="shared" si="2"/>
        <v>54599.453800000003</v>
      </c>
      <c r="D39" s="3" t="str">
        <f t="shared" si="3"/>
        <v>vis</v>
      </c>
      <c r="E39" s="28">
        <f>VLOOKUP(C39,'Active 1'!C$21:E$973,3,FALSE)</f>
        <v>177.99859705265274</v>
      </c>
      <c r="F39" s="4" t="s">
        <v>57</v>
      </c>
      <c r="G39" s="3" t="str">
        <f t="shared" si="4"/>
        <v>54599.4538</v>
      </c>
      <c r="H39" s="20">
        <f t="shared" si="5"/>
        <v>608</v>
      </c>
      <c r="I39" s="29" t="s">
        <v>126</v>
      </c>
      <c r="J39" s="30" t="s">
        <v>127</v>
      </c>
      <c r="K39" s="29">
        <v>608</v>
      </c>
      <c r="L39" s="29" t="s">
        <v>104</v>
      </c>
      <c r="M39" s="30" t="s">
        <v>123</v>
      </c>
      <c r="N39" s="30" t="s">
        <v>128</v>
      </c>
      <c r="O39" s="31" t="s">
        <v>124</v>
      </c>
      <c r="P39" s="32" t="s">
        <v>125</v>
      </c>
    </row>
    <row r="40" spans="1:16" ht="12.75" customHeight="1" thickBot="1" x14ac:dyDescent="0.25">
      <c r="A40" s="20" t="str">
        <f t="shared" si="0"/>
        <v>OEJV 0094 </v>
      </c>
      <c r="B40" s="4" t="str">
        <f t="shared" si="1"/>
        <v>I</v>
      </c>
      <c r="C40" s="20">
        <f t="shared" si="2"/>
        <v>54599.454700000002</v>
      </c>
      <c r="D40" s="3" t="str">
        <f t="shared" si="3"/>
        <v>vis</v>
      </c>
      <c r="E40" s="28">
        <f>VLOOKUP(C40,'Active 1'!C$21:E$973,3,FALSE)</f>
        <v>177.99885793129172</v>
      </c>
      <c r="F40" s="4" t="s">
        <v>57</v>
      </c>
      <c r="G40" s="3" t="str">
        <f t="shared" si="4"/>
        <v>54599.4547</v>
      </c>
      <c r="H40" s="20">
        <f t="shared" si="5"/>
        <v>608</v>
      </c>
      <c r="I40" s="29" t="s">
        <v>129</v>
      </c>
      <c r="J40" s="30" t="s">
        <v>130</v>
      </c>
      <c r="K40" s="29">
        <v>608</v>
      </c>
      <c r="L40" s="29" t="s">
        <v>131</v>
      </c>
      <c r="M40" s="30" t="s">
        <v>123</v>
      </c>
      <c r="N40" s="30" t="s">
        <v>57</v>
      </c>
      <c r="O40" s="31" t="s">
        <v>124</v>
      </c>
      <c r="P40" s="32" t="s">
        <v>125</v>
      </c>
    </row>
    <row r="41" spans="1:16" ht="12.75" customHeight="1" thickBot="1" x14ac:dyDescent="0.25">
      <c r="A41" s="20" t="str">
        <f t="shared" si="0"/>
        <v>IBVS 5972 </v>
      </c>
      <c r="B41" s="4" t="str">
        <f t="shared" si="1"/>
        <v>I</v>
      </c>
      <c r="C41" s="20">
        <f t="shared" si="2"/>
        <v>55299.779499999997</v>
      </c>
      <c r="D41" s="3" t="str">
        <f t="shared" si="3"/>
        <v>vis</v>
      </c>
      <c r="E41" s="28">
        <f>VLOOKUP(C41,'Active 1'!C$21:E$973,3,FALSE)</f>
        <v>380.99861444456025</v>
      </c>
      <c r="F41" s="4" t="s">
        <v>57</v>
      </c>
      <c r="G41" s="3" t="str">
        <f t="shared" si="4"/>
        <v>55299.7795</v>
      </c>
      <c r="H41" s="20">
        <f t="shared" si="5"/>
        <v>811</v>
      </c>
      <c r="I41" s="29" t="s">
        <v>145</v>
      </c>
      <c r="J41" s="30" t="s">
        <v>146</v>
      </c>
      <c r="K41" s="29">
        <v>811</v>
      </c>
      <c r="L41" s="29" t="s">
        <v>147</v>
      </c>
      <c r="M41" s="30" t="s">
        <v>123</v>
      </c>
      <c r="N41" s="30" t="s">
        <v>57</v>
      </c>
      <c r="O41" s="31" t="s">
        <v>135</v>
      </c>
      <c r="P41" s="32" t="s">
        <v>148</v>
      </c>
    </row>
    <row r="42" spans="1:16" ht="12.75" customHeight="1" thickBot="1" x14ac:dyDescent="0.25">
      <c r="A42" s="20" t="str">
        <f t="shared" si="0"/>
        <v>IBVS 5972 </v>
      </c>
      <c r="B42" s="4" t="str">
        <f t="shared" si="1"/>
        <v>I</v>
      </c>
      <c r="C42" s="20">
        <f t="shared" si="2"/>
        <v>55337.728999999999</v>
      </c>
      <c r="D42" s="3" t="str">
        <f t="shared" si="3"/>
        <v>vis</v>
      </c>
      <c r="E42" s="28">
        <f>VLOOKUP(C42,'Active 1'!C$21:E$973,3,FALSE)</f>
        <v>391.99885213398784</v>
      </c>
      <c r="F42" s="4" t="s">
        <v>57</v>
      </c>
      <c r="G42" s="3" t="str">
        <f t="shared" si="4"/>
        <v>55337.7290</v>
      </c>
      <c r="H42" s="20">
        <f t="shared" si="5"/>
        <v>822</v>
      </c>
      <c r="I42" s="29" t="s">
        <v>149</v>
      </c>
      <c r="J42" s="30" t="s">
        <v>150</v>
      </c>
      <c r="K42" s="29">
        <v>822</v>
      </c>
      <c r="L42" s="29" t="s">
        <v>151</v>
      </c>
      <c r="M42" s="30" t="s">
        <v>123</v>
      </c>
      <c r="N42" s="30" t="s">
        <v>57</v>
      </c>
      <c r="O42" s="31" t="s">
        <v>135</v>
      </c>
      <c r="P42" s="32" t="s">
        <v>148</v>
      </c>
    </row>
    <row r="43" spans="1:16" ht="12.75" customHeight="1" thickBot="1" x14ac:dyDescent="0.25">
      <c r="A43" s="20" t="str">
        <f t="shared" si="0"/>
        <v>IBVS 5972 </v>
      </c>
      <c r="B43" s="4" t="str">
        <f t="shared" si="1"/>
        <v>I</v>
      </c>
      <c r="C43" s="20">
        <f t="shared" si="2"/>
        <v>55368.777600000001</v>
      </c>
      <c r="D43" s="3" t="str">
        <f t="shared" si="3"/>
        <v>vis</v>
      </c>
      <c r="E43" s="28">
        <f>VLOOKUP(C43,'Active 1'!C$21:E$973,3,FALSE)</f>
        <v>400.99875937713892</v>
      </c>
      <c r="F43" s="4" t="s">
        <v>57</v>
      </c>
      <c r="G43" s="3" t="str">
        <f t="shared" si="4"/>
        <v>55368.7776</v>
      </c>
      <c r="H43" s="20">
        <f t="shared" si="5"/>
        <v>831</v>
      </c>
      <c r="I43" s="29" t="s">
        <v>152</v>
      </c>
      <c r="J43" s="30" t="s">
        <v>153</v>
      </c>
      <c r="K43" s="29">
        <v>831</v>
      </c>
      <c r="L43" s="29" t="s">
        <v>122</v>
      </c>
      <c r="M43" s="30" t="s">
        <v>123</v>
      </c>
      <c r="N43" s="30" t="s">
        <v>57</v>
      </c>
      <c r="O43" s="31" t="s">
        <v>135</v>
      </c>
      <c r="P43" s="32" t="s">
        <v>148</v>
      </c>
    </row>
    <row r="44" spans="1:16" ht="12.75" customHeight="1" thickBot="1" x14ac:dyDescent="0.25">
      <c r="A44" s="20" t="str">
        <f t="shared" si="0"/>
        <v>IBVS 5972 </v>
      </c>
      <c r="B44" s="4" t="str">
        <f t="shared" si="1"/>
        <v>II</v>
      </c>
      <c r="C44" s="20">
        <f t="shared" si="2"/>
        <v>55401.678999999996</v>
      </c>
      <c r="D44" s="3" t="str">
        <f t="shared" si="3"/>
        <v>vis</v>
      </c>
      <c r="E44" s="28">
        <f>VLOOKUP(C44,'Active 1'!C$21:E$973,3,FALSE)</f>
        <v>410.53572877897176</v>
      </c>
      <c r="F44" s="4" t="s">
        <v>57</v>
      </c>
      <c r="G44" s="3" t="str">
        <f t="shared" si="4"/>
        <v>55401.6790</v>
      </c>
      <c r="H44" s="20">
        <f t="shared" si="5"/>
        <v>840.5</v>
      </c>
      <c r="I44" s="29" t="s">
        <v>160</v>
      </c>
      <c r="J44" s="30" t="s">
        <v>161</v>
      </c>
      <c r="K44" s="29">
        <v>840.5</v>
      </c>
      <c r="L44" s="29" t="s">
        <v>162</v>
      </c>
      <c r="M44" s="30" t="s">
        <v>123</v>
      </c>
      <c r="N44" s="30" t="s">
        <v>57</v>
      </c>
      <c r="O44" s="31" t="s">
        <v>135</v>
      </c>
      <c r="P44" s="32" t="s">
        <v>148</v>
      </c>
    </row>
    <row r="45" spans="1:16" ht="12.75" customHeight="1" thickBot="1" x14ac:dyDescent="0.25">
      <c r="A45" s="20" t="str">
        <f t="shared" si="0"/>
        <v>IBVS 5972 </v>
      </c>
      <c r="B45" s="4" t="str">
        <f t="shared" si="1"/>
        <v>I</v>
      </c>
      <c r="C45" s="20">
        <f t="shared" si="2"/>
        <v>55451.575100000002</v>
      </c>
      <c r="D45" s="3" t="str">
        <f t="shared" si="3"/>
        <v>vis</v>
      </c>
      <c r="E45" s="28">
        <f>VLOOKUP(C45,'Active 1'!C$21:E$973,3,FALSE)</f>
        <v>424.99886952589787</v>
      </c>
      <c r="F45" s="4" t="s">
        <v>57</v>
      </c>
      <c r="G45" s="3" t="str">
        <f t="shared" si="4"/>
        <v>55451.5751</v>
      </c>
      <c r="H45" s="20">
        <f t="shared" si="5"/>
        <v>855</v>
      </c>
      <c r="I45" s="29" t="s">
        <v>163</v>
      </c>
      <c r="J45" s="30" t="s">
        <v>164</v>
      </c>
      <c r="K45" s="29">
        <v>855</v>
      </c>
      <c r="L45" s="29" t="s">
        <v>119</v>
      </c>
      <c r="M45" s="30" t="s">
        <v>123</v>
      </c>
      <c r="N45" s="30" t="s">
        <v>57</v>
      </c>
      <c r="O45" s="31" t="s">
        <v>135</v>
      </c>
      <c r="P45" s="32" t="s">
        <v>148</v>
      </c>
    </row>
    <row r="46" spans="1:16" x14ac:dyDescent="0.2">
      <c r="B46" s="4"/>
      <c r="E46" s="28"/>
      <c r="F46" s="4"/>
    </row>
    <row r="47" spans="1:16" x14ac:dyDescent="0.2">
      <c r="B47" s="4"/>
      <c r="E47" s="28"/>
      <c r="F47" s="4"/>
    </row>
    <row r="48" spans="1:16" x14ac:dyDescent="0.2">
      <c r="B48" s="4"/>
      <c r="E48" s="28"/>
      <c r="F48" s="4"/>
    </row>
    <row r="49" spans="2:6" x14ac:dyDescent="0.2">
      <c r="B49" s="4"/>
      <c r="E49" s="28"/>
      <c r="F49" s="4"/>
    </row>
    <row r="50" spans="2:6" x14ac:dyDescent="0.2">
      <c r="B50" s="4"/>
      <c r="E50" s="28"/>
      <c r="F50" s="4"/>
    </row>
    <row r="51" spans="2:6" x14ac:dyDescent="0.2">
      <c r="B51" s="4"/>
      <c r="E51" s="28"/>
      <c r="F51" s="4"/>
    </row>
    <row r="52" spans="2:6" x14ac:dyDescent="0.2">
      <c r="B52" s="4"/>
      <c r="E52" s="28"/>
      <c r="F52" s="4"/>
    </row>
    <row r="53" spans="2:6" x14ac:dyDescent="0.2">
      <c r="B53" s="4"/>
      <c r="E53" s="28"/>
      <c r="F53" s="4"/>
    </row>
    <row r="54" spans="2:6" x14ac:dyDescent="0.2">
      <c r="B54" s="4"/>
      <c r="E54" s="28"/>
      <c r="F54" s="4"/>
    </row>
    <row r="55" spans="2:6" x14ac:dyDescent="0.2">
      <c r="B55" s="4"/>
      <c r="E55" s="28"/>
      <c r="F55" s="4"/>
    </row>
    <row r="56" spans="2:6" x14ac:dyDescent="0.2">
      <c r="B56" s="4"/>
      <c r="F56" s="4"/>
    </row>
    <row r="57" spans="2:6" x14ac:dyDescent="0.2">
      <c r="B57" s="4"/>
      <c r="F57" s="4"/>
    </row>
    <row r="58" spans="2:6" x14ac:dyDescent="0.2">
      <c r="B58" s="4"/>
      <c r="F58" s="4"/>
    </row>
    <row r="59" spans="2:6" x14ac:dyDescent="0.2">
      <c r="B59" s="4"/>
      <c r="F59" s="4"/>
    </row>
    <row r="60" spans="2:6" x14ac:dyDescent="0.2">
      <c r="B60" s="4"/>
      <c r="F60" s="4"/>
    </row>
    <row r="61" spans="2:6" x14ac:dyDescent="0.2">
      <c r="B61" s="4"/>
      <c r="F61" s="4"/>
    </row>
    <row r="62" spans="2:6" x14ac:dyDescent="0.2">
      <c r="B62" s="4"/>
      <c r="F62" s="4"/>
    </row>
    <row r="63" spans="2:6" x14ac:dyDescent="0.2">
      <c r="B63" s="4"/>
      <c r="F63" s="4"/>
    </row>
    <row r="64" spans="2:6" x14ac:dyDescent="0.2">
      <c r="B64" s="4"/>
      <c r="F64" s="4"/>
    </row>
    <row r="65" spans="2:6" x14ac:dyDescent="0.2">
      <c r="B65" s="4"/>
      <c r="F65" s="4"/>
    </row>
    <row r="66" spans="2:6" x14ac:dyDescent="0.2">
      <c r="B66" s="4"/>
      <c r="F66" s="4"/>
    </row>
    <row r="67" spans="2:6" x14ac:dyDescent="0.2">
      <c r="B67" s="4"/>
      <c r="F67" s="4"/>
    </row>
    <row r="68" spans="2:6" x14ac:dyDescent="0.2">
      <c r="B68" s="4"/>
      <c r="F68" s="4"/>
    </row>
    <row r="69" spans="2:6" x14ac:dyDescent="0.2">
      <c r="B69" s="4"/>
      <c r="F69" s="4"/>
    </row>
    <row r="70" spans="2:6" x14ac:dyDescent="0.2">
      <c r="B70" s="4"/>
      <c r="F70" s="4"/>
    </row>
    <row r="71" spans="2:6" x14ac:dyDescent="0.2">
      <c r="B71" s="4"/>
      <c r="F71" s="4"/>
    </row>
    <row r="72" spans="2:6" x14ac:dyDescent="0.2">
      <c r="B72" s="4"/>
      <c r="F72" s="4"/>
    </row>
    <row r="73" spans="2:6" x14ac:dyDescent="0.2">
      <c r="B73" s="4"/>
      <c r="F73" s="4"/>
    </row>
    <row r="74" spans="2:6" x14ac:dyDescent="0.2">
      <c r="B74" s="4"/>
      <c r="F74" s="4"/>
    </row>
    <row r="75" spans="2:6" x14ac:dyDescent="0.2">
      <c r="B75" s="4"/>
      <c r="F75" s="4"/>
    </row>
    <row r="76" spans="2:6" x14ac:dyDescent="0.2">
      <c r="B76" s="4"/>
      <c r="F76" s="4"/>
    </row>
    <row r="77" spans="2:6" x14ac:dyDescent="0.2">
      <c r="B77" s="4"/>
      <c r="F77" s="4"/>
    </row>
    <row r="78" spans="2:6" x14ac:dyDescent="0.2">
      <c r="B78" s="4"/>
      <c r="F78" s="4"/>
    </row>
    <row r="79" spans="2:6" x14ac:dyDescent="0.2">
      <c r="B79" s="4"/>
      <c r="F79" s="4"/>
    </row>
    <row r="80" spans="2:6" x14ac:dyDescent="0.2">
      <c r="B80" s="4"/>
      <c r="F80" s="4"/>
    </row>
    <row r="81" spans="2:6" x14ac:dyDescent="0.2">
      <c r="B81" s="4"/>
      <c r="F81" s="4"/>
    </row>
    <row r="82" spans="2:6" x14ac:dyDescent="0.2">
      <c r="B82" s="4"/>
      <c r="F82" s="4"/>
    </row>
    <row r="83" spans="2:6" x14ac:dyDescent="0.2">
      <c r="B83" s="4"/>
      <c r="F83" s="4"/>
    </row>
    <row r="84" spans="2:6" x14ac:dyDescent="0.2">
      <c r="B84" s="4"/>
      <c r="F84" s="4"/>
    </row>
    <row r="85" spans="2:6" x14ac:dyDescent="0.2">
      <c r="B85" s="4"/>
      <c r="F85" s="4"/>
    </row>
    <row r="86" spans="2:6" x14ac:dyDescent="0.2">
      <c r="B86" s="4"/>
      <c r="F86" s="4"/>
    </row>
    <row r="87" spans="2:6" x14ac:dyDescent="0.2">
      <c r="B87" s="4"/>
      <c r="F87" s="4"/>
    </row>
    <row r="88" spans="2:6" x14ac:dyDescent="0.2">
      <c r="B88" s="4"/>
      <c r="F88" s="4"/>
    </row>
    <row r="89" spans="2:6" x14ac:dyDescent="0.2">
      <c r="B89" s="4"/>
      <c r="F89" s="4"/>
    </row>
    <row r="90" spans="2:6" x14ac:dyDescent="0.2">
      <c r="B90" s="4"/>
      <c r="F90" s="4"/>
    </row>
    <row r="91" spans="2:6" x14ac:dyDescent="0.2">
      <c r="B91" s="4"/>
      <c r="F91" s="4"/>
    </row>
    <row r="92" spans="2:6" x14ac:dyDescent="0.2">
      <c r="B92" s="4"/>
      <c r="F92" s="4"/>
    </row>
    <row r="93" spans="2:6" x14ac:dyDescent="0.2">
      <c r="B93" s="4"/>
      <c r="F93" s="4"/>
    </row>
    <row r="94" spans="2:6" x14ac:dyDescent="0.2">
      <c r="B94" s="4"/>
      <c r="F94" s="4"/>
    </row>
    <row r="95" spans="2:6" x14ac:dyDescent="0.2">
      <c r="B95" s="4"/>
      <c r="F95" s="4"/>
    </row>
    <row r="96" spans="2:6" x14ac:dyDescent="0.2">
      <c r="B96" s="4"/>
      <c r="F96" s="4"/>
    </row>
    <row r="97" spans="2:6" x14ac:dyDescent="0.2">
      <c r="B97" s="4"/>
      <c r="F97" s="4"/>
    </row>
    <row r="98" spans="2:6" x14ac:dyDescent="0.2">
      <c r="B98" s="4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  <row r="770" spans="2:6" x14ac:dyDescent="0.2">
      <c r="B770" s="4"/>
      <c r="F770" s="4"/>
    </row>
    <row r="771" spans="2:6" x14ac:dyDescent="0.2">
      <c r="B771" s="4"/>
      <c r="F771" s="4"/>
    </row>
    <row r="772" spans="2:6" x14ac:dyDescent="0.2">
      <c r="B772" s="4"/>
      <c r="F772" s="4"/>
    </row>
    <row r="773" spans="2:6" x14ac:dyDescent="0.2">
      <c r="B773" s="4"/>
      <c r="F773" s="4"/>
    </row>
    <row r="774" spans="2:6" x14ac:dyDescent="0.2">
      <c r="B774" s="4"/>
      <c r="F774" s="4"/>
    </row>
    <row r="775" spans="2:6" x14ac:dyDescent="0.2">
      <c r="B775" s="4"/>
      <c r="F775" s="4"/>
    </row>
    <row r="776" spans="2:6" x14ac:dyDescent="0.2">
      <c r="B776" s="4"/>
      <c r="F776" s="4"/>
    </row>
    <row r="777" spans="2:6" x14ac:dyDescent="0.2">
      <c r="B777" s="4"/>
      <c r="F777" s="4"/>
    </row>
    <row r="778" spans="2:6" x14ac:dyDescent="0.2">
      <c r="B778" s="4"/>
      <c r="F778" s="4"/>
    </row>
    <row r="779" spans="2:6" x14ac:dyDescent="0.2">
      <c r="B779" s="4"/>
      <c r="F779" s="4"/>
    </row>
    <row r="780" spans="2:6" x14ac:dyDescent="0.2">
      <c r="B780" s="4"/>
      <c r="F780" s="4"/>
    </row>
    <row r="781" spans="2:6" x14ac:dyDescent="0.2">
      <c r="B781" s="4"/>
      <c r="F781" s="4"/>
    </row>
    <row r="782" spans="2:6" x14ac:dyDescent="0.2">
      <c r="B782" s="4"/>
      <c r="F782" s="4"/>
    </row>
    <row r="783" spans="2:6" x14ac:dyDescent="0.2">
      <c r="B783" s="4"/>
      <c r="F783" s="4"/>
    </row>
    <row r="784" spans="2:6" x14ac:dyDescent="0.2">
      <c r="B784" s="4"/>
      <c r="F784" s="4"/>
    </row>
    <row r="785" spans="2:6" x14ac:dyDescent="0.2">
      <c r="B785" s="4"/>
      <c r="F785" s="4"/>
    </row>
    <row r="786" spans="2:6" x14ac:dyDescent="0.2">
      <c r="B786" s="4"/>
      <c r="F786" s="4"/>
    </row>
    <row r="787" spans="2:6" x14ac:dyDescent="0.2">
      <c r="B787" s="4"/>
      <c r="F787" s="4"/>
    </row>
    <row r="788" spans="2:6" x14ac:dyDescent="0.2">
      <c r="B788" s="4"/>
      <c r="F788" s="4"/>
    </row>
    <row r="789" spans="2:6" x14ac:dyDescent="0.2">
      <c r="B789" s="4"/>
      <c r="F789" s="4"/>
    </row>
    <row r="790" spans="2:6" x14ac:dyDescent="0.2">
      <c r="B790" s="4"/>
      <c r="F790" s="4"/>
    </row>
    <row r="791" spans="2:6" x14ac:dyDescent="0.2">
      <c r="B791" s="4"/>
      <c r="F791" s="4"/>
    </row>
    <row r="792" spans="2:6" x14ac:dyDescent="0.2">
      <c r="B792" s="4"/>
      <c r="F792" s="4"/>
    </row>
    <row r="793" spans="2:6" x14ac:dyDescent="0.2">
      <c r="B793" s="4"/>
      <c r="F793" s="4"/>
    </row>
    <row r="794" spans="2:6" x14ac:dyDescent="0.2">
      <c r="B794" s="4"/>
      <c r="F794" s="4"/>
    </row>
    <row r="795" spans="2:6" x14ac:dyDescent="0.2">
      <c r="B795" s="4"/>
      <c r="F795" s="4"/>
    </row>
    <row r="796" spans="2:6" x14ac:dyDescent="0.2">
      <c r="B796" s="4"/>
      <c r="F796" s="4"/>
    </row>
    <row r="797" spans="2:6" x14ac:dyDescent="0.2">
      <c r="B797" s="4"/>
      <c r="F797" s="4"/>
    </row>
    <row r="798" spans="2:6" x14ac:dyDescent="0.2">
      <c r="B798" s="4"/>
      <c r="F798" s="4"/>
    </row>
    <row r="799" spans="2:6" x14ac:dyDescent="0.2">
      <c r="B799" s="4"/>
      <c r="F799" s="4"/>
    </row>
    <row r="800" spans="2:6" x14ac:dyDescent="0.2">
      <c r="B800" s="4"/>
      <c r="F800" s="4"/>
    </row>
    <row r="801" spans="2:6" x14ac:dyDescent="0.2">
      <c r="B801" s="4"/>
      <c r="F801" s="4"/>
    </row>
    <row r="802" spans="2:6" x14ac:dyDescent="0.2">
      <c r="B802" s="4"/>
      <c r="F802" s="4"/>
    </row>
    <row r="803" spans="2:6" x14ac:dyDescent="0.2">
      <c r="B803" s="4"/>
      <c r="F803" s="4"/>
    </row>
    <row r="804" spans="2:6" x14ac:dyDescent="0.2">
      <c r="B804" s="4"/>
      <c r="F804" s="4"/>
    </row>
    <row r="805" spans="2:6" x14ac:dyDescent="0.2">
      <c r="B805" s="4"/>
      <c r="F805" s="4"/>
    </row>
    <row r="806" spans="2:6" x14ac:dyDescent="0.2">
      <c r="B806" s="4"/>
      <c r="F806" s="4"/>
    </row>
    <row r="807" spans="2:6" x14ac:dyDescent="0.2">
      <c r="B807" s="4"/>
      <c r="F807" s="4"/>
    </row>
    <row r="808" spans="2:6" x14ac:dyDescent="0.2">
      <c r="B808" s="4"/>
      <c r="F808" s="4"/>
    </row>
    <row r="809" spans="2:6" x14ac:dyDescent="0.2">
      <c r="B809" s="4"/>
      <c r="F809" s="4"/>
    </row>
    <row r="810" spans="2:6" x14ac:dyDescent="0.2">
      <c r="B810" s="4"/>
      <c r="F810" s="4"/>
    </row>
    <row r="811" spans="2:6" x14ac:dyDescent="0.2">
      <c r="B811" s="4"/>
      <c r="F811" s="4"/>
    </row>
    <row r="812" spans="2:6" x14ac:dyDescent="0.2">
      <c r="B812" s="4"/>
      <c r="F812" s="4"/>
    </row>
    <row r="813" spans="2:6" x14ac:dyDescent="0.2">
      <c r="B813" s="4"/>
      <c r="F813" s="4"/>
    </row>
    <row r="814" spans="2:6" x14ac:dyDescent="0.2">
      <c r="B814" s="4"/>
      <c r="F814" s="4"/>
    </row>
    <row r="815" spans="2:6" x14ac:dyDescent="0.2">
      <c r="B815" s="4"/>
      <c r="F815" s="4"/>
    </row>
    <row r="816" spans="2:6" x14ac:dyDescent="0.2">
      <c r="B816" s="4"/>
      <c r="F816" s="4"/>
    </row>
    <row r="817" spans="2:6" x14ac:dyDescent="0.2">
      <c r="B817" s="4"/>
      <c r="F817" s="4"/>
    </row>
    <row r="818" spans="2:6" x14ac:dyDescent="0.2">
      <c r="B818" s="4"/>
      <c r="F818" s="4"/>
    </row>
    <row r="819" spans="2:6" x14ac:dyDescent="0.2">
      <c r="B819" s="4"/>
      <c r="F819" s="4"/>
    </row>
    <row r="820" spans="2:6" x14ac:dyDescent="0.2">
      <c r="B820" s="4"/>
      <c r="F820" s="4"/>
    </row>
    <row r="821" spans="2:6" x14ac:dyDescent="0.2">
      <c r="B821" s="4"/>
      <c r="F821" s="4"/>
    </row>
    <row r="822" spans="2:6" x14ac:dyDescent="0.2">
      <c r="B822" s="4"/>
      <c r="F822" s="4"/>
    </row>
    <row r="823" spans="2:6" x14ac:dyDescent="0.2">
      <c r="B823" s="4"/>
      <c r="F823" s="4"/>
    </row>
    <row r="824" spans="2:6" x14ac:dyDescent="0.2">
      <c r="B824" s="4"/>
      <c r="F824" s="4"/>
    </row>
    <row r="825" spans="2:6" x14ac:dyDescent="0.2">
      <c r="B825" s="4"/>
      <c r="F825" s="4"/>
    </row>
    <row r="826" spans="2:6" x14ac:dyDescent="0.2">
      <c r="B826" s="4"/>
      <c r="F826" s="4"/>
    </row>
    <row r="827" spans="2:6" x14ac:dyDescent="0.2">
      <c r="B827" s="4"/>
      <c r="F827" s="4"/>
    </row>
    <row r="828" spans="2:6" x14ac:dyDescent="0.2">
      <c r="B828" s="4"/>
      <c r="F828" s="4"/>
    </row>
    <row r="829" spans="2:6" x14ac:dyDescent="0.2">
      <c r="B829" s="4"/>
      <c r="F829" s="4"/>
    </row>
    <row r="830" spans="2:6" x14ac:dyDescent="0.2">
      <c r="B830" s="4"/>
      <c r="F830" s="4"/>
    </row>
    <row r="831" spans="2:6" x14ac:dyDescent="0.2">
      <c r="B831" s="4"/>
      <c r="F831" s="4"/>
    </row>
    <row r="832" spans="2:6" x14ac:dyDescent="0.2">
      <c r="B832" s="4"/>
      <c r="F832" s="4"/>
    </row>
    <row r="833" spans="2:6" x14ac:dyDescent="0.2">
      <c r="B833" s="4"/>
      <c r="F833" s="4"/>
    </row>
    <row r="834" spans="2:6" x14ac:dyDescent="0.2">
      <c r="B834" s="4"/>
      <c r="F834" s="4"/>
    </row>
    <row r="835" spans="2:6" x14ac:dyDescent="0.2">
      <c r="B835" s="4"/>
      <c r="F835" s="4"/>
    </row>
    <row r="836" spans="2:6" x14ac:dyDescent="0.2">
      <c r="B836" s="4"/>
      <c r="F836" s="4"/>
    </row>
    <row r="837" spans="2:6" x14ac:dyDescent="0.2">
      <c r="B837" s="4"/>
      <c r="F837" s="4"/>
    </row>
    <row r="838" spans="2:6" x14ac:dyDescent="0.2">
      <c r="B838" s="4"/>
      <c r="F838" s="4"/>
    </row>
    <row r="839" spans="2:6" x14ac:dyDescent="0.2">
      <c r="B839" s="4"/>
      <c r="F839" s="4"/>
    </row>
    <row r="840" spans="2:6" x14ac:dyDescent="0.2">
      <c r="B840" s="4"/>
      <c r="F840" s="4"/>
    </row>
    <row r="841" spans="2:6" x14ac:dyDescent="0.2">
      <c r="B841" s="4"/>
      <c r="F841" s="4"/>
    </row>
    <row r="842" spans="2:6" x14ac:dyDescent="0.2">
      <c r="B842" s="4"/>
      <c r="F842" s="4"/>
    </row>
    <row r="843" spans="2:6" x14ac:dyDescent="0.2">
      <c r="B843" s="4"/>
      <c r="F843" s="4"/>
    </row>
  </sheetData>
  <phoneticPr fontId="7" type="noConversion"/>
  <hyperlinks>
    <hyperlink ref="P28" r:id="rId1" display="http://www.konkoly.hu/cgi-bin/IBVS?4536" xr:uid="{00000000-0004-0000-0100-000000000000}"/>
    <hyperlink ref="P29" r:id="rId2" display="http://www.konkoly.hu/cgi-bin/IBVS?4536" xr:uid="{00000000-0004-0000-0100-000001000000}"/>
    <hyperlink ref="P30" r:id="rId3" display="http://www.konkoly.hu/cgi-bin/IBVS?4536" xr:uid="{00000000-0004-0000-0100-000002000000}"/>
    <hyperlink ref="P31" r:id="rId4" display="http://www.bav-astro.de/sfs/BAVM_link.php?BAVMnr=107" xr:uid="{00000000-0004-0000-0100-000003000000}"/>
    <hyperlink ref="P32" r:id="rId5" display="http://www.bav-astro.de/sfs/BAVM_link.php?BAVMnr=107" xr:uid="{00000000-0004-0000-0100-000004000000}"/>
    <hyperlink ref="P33" r:id="rId6" display="http://www.bav-astro.de/sfs/BAVM_link.php?BAVMnr=107" xr:uid="{00000000-0004-0000-0100-000005000000}"/>
    <hyperlink ref="P34" r:id="rId7" display="http://www.bav-astro.de/sfs/BAVM_link.php?BAVMnr=107" xr:uid="{00000000-0004-0000-0100-000006000000}"/>
    <hyperlink ref="P35" r:id="rId8" display="http://www.bav-astro.de/sfs/BAVM_link.php?BAVMnr=107" xr:uid="{00000000-0004-0000-0100-000007000000}"/>
    <hyperlink ref="P36" r:id="rId9" display="http://www.bav-astro.de/sfs/BAVM_link.php?BAVMnr=131" xr:uid="{00000000-0004-0000-0100-000008000000}"/>
    <hyperlink ref="P37" r:id="rId10" display="http://www.bav-astro.de/sfs/BAVM_link.php?BAVMnr=113" xr:uid="{00000000-0004-0000-0100-000009000000}"/>
    <hyperlink ref="P11" r:id="rId11" display="http://www.bav-astro.de/sfs/BAVM_link.php?BAVMnr=152" xr:uid="{00000000-0004-0000-0100-00000A000000}"/>
    <hyperlink ref="P12" r:id="rId12" display="http://www.konkoly.hu/cgi-bin/IBVS?5978" xr:uid="{00000000-0004-0000-0100-00000B000000}"/>
    <hyperlink ref="P13" r:id="rId13" display="http://www.konkoly.hu/cgi-bin/IBVS?5978" xr:uid="{00000000-0004-0000-0100-00000C000000}"/>
    <hyperlink ref="P14" r:id="rId14" display="http://www.konkoly.hu/cgi-bin/IBVS?5978" xr:uid="{00000000-0004-0000-0100-00000D000000}"/>
    <hyperlink ref="P15" r:id="rId15" display="http://www.konkoly.hu/cgi-bin/IBVS?5978" xr:uid="{00000000-0004-0000-0100-00000E000000}"/>
    <hyperlink ref="P16" r:id="rId16" display="http://www.konkoly.hu/cgi-bin/IBVS?5978" xr:uid="{00000000-0004-0000-0100-00000F000000}"/>
    <hyperlink ref="P38" r:id="rId17" display="http://var.astro.cz/oejv/issues/oejv0094.pdf" xr:uid="{00000000-0004-0000-0100-000010000000}"/>
    <hyperlink ref="P39" r:id="rId18" display="http://var.astro.cz/oejv/issues/oejv0094.pdf" xr:uid="{00000000-0004-0000-0100-000011000000}"/>
    <hyperlink ref="P40" r:id="rId19" display="http://var.astro.cz/oejv/issues/oejv0094.pdf" xr:uid="{00000000-0004-0000-0100-000012000000}"/>
    <hyperlink ref="P17" r:id="rId20" display="http://www.konkoly.hu/cgi-bin/IBVS?5910" xr:uid="{00000000-0004-0000-0100-000013000000}"/>
    <hyperlink ref="P18" r:id="rId21" display="http://www.konkoly.hu/cgi-bin/IBVS?5910" xr:uid="{00000000-0004-0000-0100-000014000000}"/>
    <hyperlink ref="P19" r:id="rId22" display="http://www.konkoly.hu/cgi-bin/IBVS?5978" xr:uid="{00000000-0004-0000-0100-000015000000}"/>
    <hyperlink ref="P20" r:id="rId23" display="http://www.konkoly.hu/cgi-bin/IBVS?5978" xr:uid="{00000000-0004-0000-0100-000016000000}"/>
    <hyperlink ref="P41" r:id="rId24" display="http://www.konkoly.hu/cgi-bin/IBVS?5972" xr:uid="{00000000-0004-0000-0100-000017000000}"/>
    <hyperlink ref="P42" r:id="rId25" display="http://www.konkoly.hu/cgi-bin/IBVS?5972" xr:uid="{00000000-0004-0000-0100-000018000000}"/>
    <hyperlink ref="P43" r:id="rId26" display="http://www.konkoly.hu/cgi-bin/IBVS?5972" xr:uid="{00000000-0004-0000-0100-000019000000}"/>
    <hyperlink ref="P21" r:id="rId27" display="http://www.konkoly.hu/cgi-bin/IBVS?5978" xr:uid="{00000000-0004-0000-0100-00001A000000}"/>
    <hyperlink ref="P22" r:id="rId28" display="http://www.konkoly.hu/cgi-bin/IBVS?5978" xr:uid="{00000000-0004-0000-0100-00001B000000}"/>
    <hyperlink ref="P44" r:id="rId29" display="http://www.konkoly.hu/cgi-bin/IBVS?5972" xr:uid="{00000000-0004-0000-0100-00001C000000}"/>
    <hyperlink ref="P45" r:id="rId30" display="http://www.konkoly.hu/cgi-bin/IBVS?5972" xr:uid="{00000000-0004-0000-0100-00001D000000}"/>
    <hyperlink ref="P23" r:id="rId31" display="http://www.konkoly.hu/cgi-bin/IBVS?6014" xr:uid="{00000000-0004-0000-0100-00001E000000}"/>
    <hyperlink ref="P24" r:id="rId32" display="http://www.konkoly.hu/cgi-bin/IBVS?6014" xr:uid="{00000000-0004-0000-0100-00001F000000}"/>
    <hyperlink ref="P25" r:id="rId33" display="http://var.astro.cz/oejv/issues/oejv0160.pdf" xr:uid="{00000000-0004-0000-0100-000020000000}"/>
    <hyperlink ref="P26" r:id="rId34" display="http://var.astro.cz/oejv/issues/oejv0160.pdf" xr:uid="{00000000-0004-0000-0100-000021000000}"/>
    <hyperlink ref="P27" r:id="rId35" display="http://var.astro.cz/oejv/issues/oejv0160.pdf" xr:uid="{00000000-0004-0000-0100-00002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2025-01-08T05:26:26Z</dcterms:modified>
</cp:coreProperties>
</file>