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2845A9D-738A-459C-AF84-18B4846850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H22" i="1" s="1"/>
  <c r="Q22" i="1"/>
  <c r="E23" i="1"/>
  <c r="F23" i="1"/>
  <c r="G23" i="1" s="1"/>
  <c r="I23" i="1" s="1"/>
  <c r="Q23" i="1"/>
  <c r="F14" i="1"/>
  <c r="F15" i="1" s="1"/>
  <c r="C22" i="1"/>
  <c r="C17" i="1" s="1"/>
  <c r="A22" i="1"/>
  <c r="E21" i="1"/>
  <c r="F21" i="1" s="1"/>
  <c r="G21" i="1" s="1"/>
  <c r="H21" i="1" s="1"/>
  <c r="Q21" i="1"/>
  <c r="G11" i="1"/>
  <c r="F11" i="1"/>
  <c r="C12" i="1"/>
  <c r="C11" i="1"/>
  <c r="O23" i="1" l="1"/>
  <c r="O22" i="1"/>
  <c r="C16" i="1"/>
  <c r="D18" i="1" s="1"/>
  <c r="O21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<sst xmlns="http://schemas.openxmlformats.org/spreadsheetml/2006/main" count="50" uniqueCount="49">
  <si>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</si>
  <si>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</si>
  <si>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</si>
  <si>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</si>
  <si>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</si>
  <si>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</si>
  <si>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</si>
  <si>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</si>
  <si>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</si>
  <si>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</si>
  <si>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</si>
  <si>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</si>
  <si>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</si>
  <si>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</si>
  <si>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</si>
  <si>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</si>
  <si>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</si>
  <si>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</si>
  <si>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</si>
  <si>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</si>
  <si>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</si>
  <si>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</si>
  <si>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</si>
  <si>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</si>
  <si>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</si>
  <si>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</si>
  <si>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</si>
  <si>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</si>
  <si>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</si>
  <si>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</si>
  <si>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</si>
  <si>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</si>
  <si>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</si>
  <si>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</si>
  <si>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</si>
  <si>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SX Sgr / GSC 7408-0960</t>
  </si>
  <si>
    <t>Wood 1963</t>
  </si>
  <si>
    <t>Wood 1963AJ.....68..258</t>
  </si>
  <si>
    <t>CCD</t>
  </si>
  <si>
    <t>VSX</t>
  </si>
  <si>
    <t>vis</t>
  </si>
  <si>
    <t>JBAV 96</t>
  </si>
  <si>
    <t>I</t>
  </si>
  <si>
    <t xml:space="preserve">Mag </t>
  </si>
  <si>
    <t>Add cycle</t>
  </si>
  <si>
    <t>Old Cycle</t>
  </si>
  <si>
    <t>Next ToM-P</t>
  </si>
  <si>
    <t>Next ToM-S</t>
  </si>
  <si>
    <t>9.51-10.72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</si>
</sst>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7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65" fontId="14" fillId="0" borderId="0" xfId="0" applyNumberFormat="1" applyFont="1" applyAlignment="1" applyProtection="1">
      <alignment horizontal="left" vertical="center" wrapText="1"/>
      <protection locked="0"/>
    </xf>
    <xf numFmtId="0" fontId="0" fillId="0" borderId="5" xfId="0" applyBorder="1" applyAlignment="1">
      <alignment vertical="center"/>
    </xf>
    <xf numFmtId="0" fontId="15" fillId="0" borderId="8" xfId="0" applyFont="1" applyBorder="1" applyAlignment="1">
      <alignment horizontal="right" vertical="center"/>
    </xf>
    <xf numFmtId="22" fontId="15" fillId="0" borderId="8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3" fillId="2" borderId="6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22" fontId="16" fillId="0" borderId="11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SX Sgr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2">
                    <c:v>0.02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-3946</c:v>
                </c:pt>
                <c:pt idx="1">
                  <c:v>0</c:v>
                </c:pt>
                <c:pt idx="2">
                  <c:v>3618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-2.6019999997515697E-2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D1-47B7-98B9-904A5AC8E2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-3946</c:v>
                </c:pt>
                <c:pt idx="1">
                  <c:v>0</c:v>
                </c:pt>
                <c:pt idx="2">
                  <c:v>3618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">
                  <c:v>0.5209199999953853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D1-47B7-98B9-904A5AC8E2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-3946</c:v>
                </c:pt>
                <c:pt idx="1">
                  <c:v>0</c:v>
                </c:pt>
                <c:pt idx="2">
                  <c:v>3618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D1-47B7-98B9-904A5AC8E2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-3946</c:v>
                </c:pt>
                <c:pt idx="1">
                  <c:v>0</c:v>
                </c:pt>
                <c:pt idx="2">
                  <c:v>3618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D1-47B7-98B9-904A5AC8E2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-3946</c:v>
                </c:pt>
                <c:pt idx="1">
                  <c:v>0</c:v>
                </c:pt>
                <c:pt idx="2">
                  <c:v>3618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D1-47B7-98B9-904A5AC8E2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-3946</c:v>
                </c:pt>
                <c:pt idx="1">
                  <c:v>0</c:v>
                </c:pt>
                <c:pt idx="2">
                  <c:v>3618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D1-47B7-98B9-904A5AC8E2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-3946</c:v>
                </c:pt>
                <c:pt idx="1">
                  <c:v>0</c:v>
                </c:pt>
                <c:pt idx="2">
                  <c:v>3618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D1-47B7-98B9-904A5AC8E2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-3946</c:v>
                </c:pt>
                <c:pt idx="1">
                  <c:v>0</c:v>
                </c:pt>
                <c:pt idx="2">
                  <c:v>3618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-0.1086562331732428</c:v>
                </c:pt>
                <c:pt idx="1">
                  <c:v>0.17276408726954101</c:v>
                </c:pt>
                <c:pt idx="2">
                  <c:v>0.43079214590157139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D1-47B7-98B9-904A5AC8E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822960"/>
        <c:axId val="1"/>
      </c:scatterChart>
      <c:valAx>
        <c:axId val="839822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9822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466165413533832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6D0DD1B-CFE7-2894-C33F-1E9FDCB1E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425781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23" t="s">
        <v>35</v>
      </c>
    </row>
    <row r="2" spans="1:7" s="2" customFormat="1" ht="12.95" customHeight="1" x14ac:dyDescent="0.2">
      <c r="A2" s="2" t="s">
        <v>24</v>
      </c>
      <c r="C2" s="3"/>
      <c r="D2" s="3"/>
    </row>
    <row r="3" spans="1:7" s="2" customFormat="1" ht="12.95" customHeight="1" thickBot="1" x14ac:dyDescent="0.25"/>
    <row r="4" spans="1:7" s="2" customFormat="1" ht="12.95" customHeight="1" thickTop="1" thickBot="1" x14ac:dyDescent="0.25">
      <c r="A4" s="4" t="s">
        <v>0</v>
      </c>
      <c r="C4" s="5">
        <v>27656.214220000002</v>
      </c>
      <c r="D4" s="6">
        <v>4.1540600000000003</v>
      </c>
    </row>
    <row r="5" spans="1:7" s="2" customFormat="1" ht="12.95" customHeight="1" x14ac:dyDescent="0.2"/>
    <row r="6" spans="1:7" s="2" customFormat="1" ht="12.95" customHeight="1" x14ac:dyDescent="0.2">
      <c r="A6" s="4" t="s">
        <v>1</v>
      </c>
    </row>
    <row r="7" spans="1:7" s="2" customFormat="1" ht="12.95" customHeight="1" x14ac:dyDescent="0.2">
      <c r="A7" s="2" t="s">
        <v>2</v>
      </c>
      <c r="C7" s="2">
        <v>44048.161</v>
      </c>
      <c r="D7" s="2" t="s">
        <v>39</v>
      </c>
    </row>
    <row r="8" spans="1:7" s="2" customFormat="1" ht="12.95" customHeight="1" x14ac:dyDescent="0.2">
      <c r="A8" s="2" t="s">
        <v>3</v>
      </c>
      <c r="C8" s="2">
        <v>4.1540600000000003</v>
      </c>
      <c r="D8" s="2" t="s">
        <v>39</v>
      </c>
    </row>
    <row r="9" spans="1:7" s="2" customFormat="1" ht="12.95" customHeight="1" x14ac:dyDescent="0.2">
      <c r="A9" s="7" t="s">
        <v>30</v>
      </c>
      <c r="C9" s="8">
        <v>-9.5</v>
      </c>
      <c r="D9" s="2" t="s">
        <v>31</v>
      </c>
    </row>
    <row r="10" spans="1:7" s="2" customFormat="1" ht="12.95" customHeight="1" thickBot="1" x14ac:dyDescent="0.25">
      <c r="C10" s="9" t="s">
        <v>20</v>
      </c>
      <c r="D10" s="9" t="s">
        <v>21</v>
      </c>
    </row>
    <row r="11" spans="1:7" s="2" customFormat="1" ht="12.95" customHeight="1" x14ac:dyDescent="0.2">
      <c r="A11" s="2" t="s">
        <v>15</v>
      </c>
      <c r="C11" s="10">
        <f ca="1">INTERCEPT(INDIRECT($G$11):G991,INDIRECT($F$11):F991)</f>
        <v>0.17276408726954101</v>
      </c>
      <c r="D11" s="3"/>
      <c r="F11" s="11" t="str">
        <f>"F"&amp;E19</f>
        <v>F21</v>
      </c>
      <c r="G11" s="10" t="str">
        <f>"G"&amp;E19</f>
        <v>G21</v>
      </c>
    </row>
    <row r="12" spans="1:7" s="2" customFormat="1" ht="12.95" customHeight="1" x14ac:dyDescent="0.2">
      <c r="A12" s="2" t="s">
        <v>16</v>
      </c>
      <c r="C12" s="10">
        <f ca="1">SLOPE(INDIRECT($G$11):G991,INDIRECT($F$11):F991)</f>
        <v>7.1317871374248305E-5</v>
      </c>
      <c r="D12" s="3"/>
      <c r="E12" s="31" t="s">
        <v>43</v>
      </c>
      <c r="F12" s="32" t="s">
        <v>48</v>
      </c>
    </row>
    <row r="13" spans="1:7" s="2" customFormat="1" ht="12.95" customHeight="1" x14ac:dyDescent="0.2">
      <c r="A13" s="2" t="s">
        <v>19</v>
      </c>
      <c r="C13" s="3" t="s">
        <v>13</v>
      </c>
      <c r="D13" s="3"/>
      <c r="E13" s="28" t="s">
        <v>44</v>
      </c>
      <c r="F13" s="33">
        <v>1</v>
      </c>
    </row>
    <row r="14" spans="1:7" s="2" customFormat="1" ht="12.95" customHeight="1" x14ac:dyDescent="0.2">
      <c r="E14" s="28" t="s">
        <v>32</v>
      </c>
      <c r="F14" s="34">
        <f ca="1">NOW()+15018.5+$C$9/24</f>
        <v>60683.778909027773</v>
      </c>
    </row>
    <row r="15" spans="1:7" s="2" customFormat="1" ht="12.95" customHeight="1" x14ac:dyDescent="0.2">
      <c r="A15" s="12" t="s">
        <v>17</v>
      </c>
      <c r="C15" s="13">
        <f ca="1">(C7+C11)+(C8+C12)*INT(MAX(F21:F3532))</f>
        <v>59077.980872145898</v>
      </c>
      <c r="D15" s="14"/>
      <c r="E15" s="28" t="s">
        <v>45</v>
      </c>
      <c r="F15" s="34">
        <f ca="1">ROUND(2*($F$14-$C$7)/$C$8,0)/2+$F$13</f>
        <v>4005.5</v>
      </c>
    </row>
    <row r="16" spans="1:7" s="2" customFormat="1" ht="12.95" customHeight="1" x14ac:dyDescent="0.2">
      <c r="A16" s="4" t="s">
        <v>4</v>
      </c>
      <c r="C16" s="15">
        <f ca="1">+C8+C12</f>
        <v>4.1541313178713741</v>
      </c>
      <c r="D16" s="14"/>
      <c r="E16" s="28" t="s">
        <v>33</v>
      </c>
      <c r="F16" s="34">
        <f ca="1">ROUND(2*($F$14-$C$15)/$C$16,0)/2+$F$13</f>
        <v>387.5</v>
      </c>
    </row>
    <row r="17" spans="1:18" s="2" customFormat="1" ht="12.95" customHeight="1" thickBot="1" x14ac:dyDescent="0.25">
      <c r="A17" s="14" t="s">
        <v>29</v>
      </c>
      <c r="C17" s="2">
        <f>COUNT(C21:C2190)</f>
        <v>3</v>
      </c>
      <c r="D17" s="14"/>
      <c r="E17" s="29" t="s">
        <v>46</v>
      </c>
      <c r="F17" s="35">
        <f ca="1">+$C$15+$C$16*$F$16-15018.5-$C$9/24</f>
        <v>45669.602591154391</v>
      </c>
    </row>
    <row r="18" spans="1:18" s="2" customFormat="1" ht="12.95" customHeight="1" thickTop="1" thickBot="1" x14ac:dyDescent="0.25">
      <c r="A18" s="4" t="s">
        <v>5</v>
      </c>
      <c r="C18" s="16">
        <f ca="1">+C15</f>
        <v>59077.980872145898</v>
      </c>
      <c r="D18" s="27">
        <f ca="1">+C16</f>
        <v>4.1541313178713741</v>
      </c>
      <c r="E18" s="30" t="s">
        <v>47</v>
      </c>
      <c r="F18" s="36">
        <f ca="1">+($C$15+$C$16*$F$16)-($C$16/2)-15018.5-$C$9/24</f>
        <v>45667.525525495454</v>
      </c>
    </row>
    <row r="19" spans="1:18" s="2" customFormat="1" ht="12.95" customHeight="1" thickTop="1" x14ac:dyDescent="0.2">
      <c r="A19" s="17" t="s">
        <v>34</v>
      </c>
      <c r="E19" s="18">
        <v>21</v>
      </c>
    </row>
    <row r="20" spans="1:18" s="2" customFormat="1" ht="12.95" customHeight="1" thickBot="1" x14ac:dyDescent="0.25">
      <c r="A20" s="9" t="s">
        <v>6</v>
      </c>
      <c r="B20" s="9" t="s">
        <v>7</v>
      </c>
      <c r="C20" s="9" t="s">
        <v>8</v>
      </c>
      <c r="D20" s="9" t="s">
        <v>12</v>
      </c>
      <c r="E20" s="9" t="s">
        <v>9</v>
      </c>
      <c r="F20" s="9" t="s">
        <v>10</v>
      </c>
      <c r="G20" s="9" t="s">
        <v>11</v>
      </c>
      <c r="H20" s="19" t="s">
        <v>40</v>
      </c>
      <c r="I20" s="19" t="s">
        <v>38</v>
      </c>
      <c r="J20" s="19" t="s">
        <v>18</v>
      </c>
      <c r="K20" s="19" t="s">
        <v>25</v>
      </c>
      <c r="L20" s="19" t="s">
        <v>26</v>
      </c>
      <c r="M20" s="19" t="s">
        <v>27</v>
      </c>
      <c r="N20" s="19" t="s">
        <v>28</v>
      </c>
      <c r="O20" s="19" t="s">
        <v>23</v>
      </c>
      <c r="P20" s="20" t="s">
        <v>22</v>
      </c>
      <c r="Q20" s="9" t="s">
        <v>14</v>
      </c>
    </row>
    <row r="21" spans="1:18" s="2" customFormat="1" ht="12.95" customHeight="1" x14ac:dyDescent="0.2">
      <c r="A21" s="21" t="s">
        <v>36</v>
      </c>
      <c r="B21" s="3"/>
      <c r="C21" s="21">
        <v>27656.214220000002</v>
      </c>
      <c r="D21" s="21"/>
      <c r="E21" s="2">
        <f>+(C21-C$7)/C$8</f>
        <v>-3946.0062637516062</v>
      </c>
      <c r="F21" s="2">
        <f>ROUND(2*E21,0)/2</f>
        <v>-3946</v>
      </c>
      <c r="G21" s="2">
        <f>+C21-(C$7+F21*C$8)</f>
        <v>-2.6019999997515697E-2</v>
      </c>
      <c r="H21" s="2">
        <f>+G21</f>
        <v>-2.6019999997515697E-2</v>
      </c>
      <c r="O21" s="2">
        <f ca="1">+C$11+C$12*$F21</f>
        <v>-0.1086562331732428</v>
      </c>
      <c r="Q21" s="22">
        <f>+C21-15018.5</f>
        <v>12637.714220000002</v>
      </c>
      <c r="R21" s="2" t="s">
        <v>37</v>
      </c>
    </row>
    <row r="22" spans="1:18" s="2" customFormat="1" ht="12.95" customHeight="1" x14ac:dyDescent="0.2">
      <c r="A22" s="2" t="str">
        <f>$D$7</f>
        <v>VSX</v>
      </c>
      <c r="C22" s="21">
        <f>$C$7</f>
        <v>44048.161</v>
      </c>
      <c r="D22" s="21"/>
      <c r="E22" s="2">
        <f t="shared" ref="E22:E23" si="0">+(C22-C$7)/C$8</f>
        <v>0</v>
      </c>
      <c r="F22" s="2">
        <f t="shared" ref="F22:F23" si="1">ROUND(2*E22,0)/2</f>
        <v>0</v>
      </c>
      <c r="G22" s="2">
        <f t="shared" ref="G22:G23" si="2">+C22-(C$7+F22*C$8)</f>
        <v>0</v>
      </c>
      <c r="H22" s="2">
        <f t="shared" ref="H22:H23" si="3">+G22</f>
        <v>0</v>
      </c>
      <c r="O22" s="2">
        <f t="shared" ref="O22:O23" ca="1" si="4">+C$11+C$12*$F22</f>
        <v>0.17276408726954101</v>
      </c>
      <c r="Q22" s="22">
        <f t="shared" ref="Q22:Q23" si="5">+C22-15018.5</f>
        <v>29029.661</v>
      </c>
    </row>
    <row r="23" spans="1:18" s="2" customFormat="1" ht="12.95" customHeight="1" x14ac:dyDescent="0.2">
      <c r="A23" s="24" t="s">
        <v>41</v>
      </c>
      <c r="B23" s="25" t="s">
        <v>42</v>
      </c>
      <c r="C23" s="26">
        <v>59078.070999999996</v>
      </c>
      <c r="D23" s="24">
        <v>0.02</v>
      </c>
      <c r="E23" s="2">
        <f t="shared" si="0"/>
        <v>3618.1254002108767</v>
      </c>
      <c r="F23" s="2">
        <f t="shared" si="1"/>
        <v>3618</v>
      </c>
      <c r="G23" s="2">
        <f t="shared" si="2"/>
        <v>0.5209199999953853</v>
      </c>
      <c r="I23" s="2">
        <f>+G23</f>
        <v>0.5209199999953853</v>
      </c>
      <c r="O23" s="2">
        <f t="shared" ca="1" si="4"/>
        <v>0.43079214590157139</v>
      </c>
      <c r="Q23" s="22">
        <f t="shared" si="5"/>
        <v>44059.570999999996</v>
      </c>
    </row>
    <row r="24" spans="1:18" s="2" customFormat="1" ht="12.95" customHeight="1" x14ac:dyDescent="0.2">
      <c r="C24" s="21"/>
      <c r="D24" s="21"/>
      <c r="Q24" s="22"/>
    </row>
    <row r="25" spans="1:18" s="2" customFormat="1" ht="12.95" customHeight="1" x14ac:dyDescent="0.2">
      <c r="C25" s="21"/>
      <c r="D25" s="21"/>
      <c r="Q25" s="22"/>
    </row>
    <row r="26" spans="1:18" s="2" customFormat="1" ht="12.95" customHeight="1" x14ac:dyDescent="0.2">
      <c r="C26" s="21"/>
      <c r="D26" s="21"/>
      <c r="Q26" s="22"/>
    </row>
    <row r="27" spans="1:18" s="2" customFormat="1" ht="12.95" customHeight="1" x14ac:dyDescent="0.2">
      <c r="C27" s="21"/>
      <c r="D27" s="21"/>
      <c r="Q27" s="22"/>
    </row>
    <row r="28" spans="1:18" s="2" customFormat="1" ht="12.95" customHeight="1" x14ac:dyDescent="0.2">
      <c r="C28" s="21"/>
      <c r="D28" s="21"/>
      <c r="Q28" s="22"/>
    </row>
    <row r="29" spans="1:18" s="2" customFormat="1" ht="12.95" customHeight="1" x14ac:dyDescent="0.2">
      <c r="C29" s="21"/>
      <c r="D29" s="21"/>
      <c r="Q29" s="22"/>
    </row>
    <row r="30" spans="1:18" s="2" customFormat="1" ht="12.95" customHeight="1" x14ac:dyDescent="0.2">
      <c r="C30" s="21"/>
      <c r="D30" s="21"/>
      <c r="Q30" s="22"/>
    </row>
    <row r="31" spans="1:18" s="2" customFormat="1" ht="12.95" customHeight="1" x14ac:dyDescent="0.2">
      <c r="C31" s="21"/>
      <c r="D31" s="21"/>
      <c r="Q31" s="22"/>
    </row>
    <row r="32" spans="1:18" s="2" customFormat="1" ht="12.95" customHeight="1" x14ac:dyDescent="0.2">
      <c r="C32" s="21"/>
      <c r="D32" s="21"/>
      <c r="Q32" s="22"/>
    </row>
    <row r="33" spans="3:4" s="2" customFormat="1" ht="12.95" customHeight="1" x14ac:dyDescent="0.2">
      <c r="C33" s="21"/>
      <c r="D33" s="21"/>
    </row>
    <row r="34" spans="3:4" s="2" customFormat="1" ht="12.95" customHeight="1" x14ac:dyDescent="0.2">
      <c r="C34" s="21"/>
      <c r="D34" s="21"/>
    </row>
    <row r="35" spans="3:4" s="2" customFormat="1" ht="12.95" customHeight="1" x14ac:dyDescent="0.2">
      <c r="C35" s="21"/>
      <c r="D35" s="21"/>
    </row>
    <row r="36" spans="3:4" s="2" customFormat="1" ht="12.95" customHeight="1" x14ac:dyDescent="0.2">
      <c r="C36" s="21"/>
      <c r="D36" s="2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2025-01-08T05:41:37Z</dcterms:modified>
</cp:coreProperties>
</file>