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FF760C-D3E6-42A0-8A63-E02A5BA43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8" i="1"/>
  <c r="F28" i="1" s="1"/>
  <c r="G28" i="1" s="1"/>
  <c r="I28" i="1" s="1"/>
  <c r="Q28" i="1"/>
  <c r="E26" i="1"/>
  <c r="F26" i="1"/>
  <c r="G26" i="1" s="1"/>
  <c r="J26" i="1" s="1"/>
  <c r="Q26" i="1"/>
  <c r="F14" i="1"/>
  <c r="G11" i="1"/>
  <c r="F11" i="1"/>
  <c r="C17" i="1"/>
  <c r="Q25" i="1"/>
  <c r="E25" i="1"/>
  <c r="F25" i="1" s="1"/>
  <c r="G25" i="1" s="1"/>
  <c r="I25" i="1" s="1"/>
  <c r="E21" i="1"/>
  <c r="F21" i="1"/>
  <c r="Q24" i="1"/>
  <c r="Q23" i="1"/>
  <c r="E23" i="1"/>
  <c r="F23" i="1" s="1"/>
  <c r="G23" i="1" s="1"/>
  <c r="I23" i="1" s="1"/>
  <c r="Q21" i="1"/>
  <c r="Q22" i="1"/>
  <c r="E24" i="1"/>
  <c r="F24" i="1"/>
  <c r="G24" i="1" s="1"/>
  <c r="I24" i="1" s="1"/>
  <c r="E22" i="1"/>
  <c r="F22" i="1" s="1"/>
  <c r="G22" i="1" s="1"/>
  <c r="I22" i="1" s="1"/>
  <c r="C11" i="1"/>
  <c r="F15" i="1" l="1"/>
  <c r="C12" i="1"/>
  <c r="O28" i="1" l="1"/>
  <c r="O27" i="1"/>
  <c r="O26" i="1"/>
  <c r="O24" i="1"/>
  <c r="C16" i="1"/>
  <c r="D18" i="1" s="1"/>
  <c r="O23" i="1"/>
  <c r="O22" i="1"/>
  <c r="O21" i="1"/>
  <c r="C15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<sst xmlns="http://schemas.openxmlformats.org/spreadsheetml/2006/main" count="66" uniqueCount="51">
  <si>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</si>
  <si>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</si>
  <si>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</si>
  <si>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</si>
  <si>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</si>
  <si>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</si>
  <si>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</si>
  <si>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</si>
  <si>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</si>
  <si>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</si>
  <si>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</si>
  <si>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</si>
  <si>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</si>
  <si>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</si>
  <si>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</si>
  <si>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</si>
  <si>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</si>
  <si>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</si>
  <si>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</si>
  <si>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</si>
  <si>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</si>
  <si>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</si>
  <si>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</si>
  <si>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</si>
  <si>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</si>
  <si>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</si>
  <si>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</si>
  <si>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</si>
  <si>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</si>
  <si>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</si>
  <si>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WY Sgr / GSC 06842-00011</t>
  </si>
  <si>
    <t>EA/SD</t>
  </si>
  <si>
    <t>IBVS 5507</t>
  </si>
  <si>
    <t>I</t>
  </si>
  <si>
    <t>II</t>
  </si>
  <si>
    <t>VSX</t>
  </si>
  <si>
    <t>My time zone &gt;&gt;&gt;&gt;&gt;</t>
  </si>
  <si>
    <t>(PST=8, PDT=MDT=7, MDT=CST=6, etc.)</t>
  </si>
  <si>
    <t>JD today</t>
  </si>
  <si>
    <t>New Cycle</t>
  </si>
  <si>
    <t>Next ToM</t>
  </si>
  <si>
    <t>IBVS 5931</t>
  </si>
  <si>
    <t>Start of linear fit &gt;&gt;&gt;&gt;&gt;&gt;&gt;&gt;&gt;&gt;&gt;&gt;&gt;&gt;&gt;&gt;&gt;&gt;&gt;&gt;&gt;</t>
  </si>
  <si>
    <t>Add cycle</t>
  </si>
  <si>
    <t>Old Cycle</t>
  </si>
  <si>
    <t>CCD</t>
  </si>
  <si>
    <t>JBAV 96</t>
  </si>
  <si>
    <t xml:space="preserve">Mag </t>
  </si>
  <si>
    <t>Next ToM-P</t>
  </si>
  <si>
    <t>Next ToM-S</t>
  </si>
  <si>
    <t>9.58-10.79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</si>
</sst>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Sgr - O-C Diagr.</a:t>
            </a:r>
          </a:p>
        </c:rich>
      </c:tx>
      <c:layout>
        <c:manualLayout>
          <c:xMode val="edge"/>
          <c:yMode val="edge"/>
          <c:x val="0.384849121132585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061897879"/>
          <c:y val="0.14678942920199375"/>
          <c:w val="0.8242436438264142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3-436D-9F43-74FD4B4C7A3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1.0144000189029612E-2</c:v>
                </c:pt>
                <c:pt idx="2">
                  <c:v>1.9928499925299548E-2</c:v>
                </c:pt>
                <c:pt idx="3">
                  <c:v>-4.0132999994966667E-2</c:v>
                </c:pt>
                <c:pt idx="4">
                  <c:v>-6.9499999517574906E-4</c:v>
                </c:pt>
                <c:pt idx="6">
                  <c:v>-1.8630000849952921E-3</c:v>
                </c:pt>
                <c:pt idx="7">
                  <c:v>3.3628500132181216E-2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3-436D-9F43-74FD4B4C7A3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43-436D-9F43-74FD4B4C7A3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43-436D-9F43-74FD4B4C7A3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43-436D-9F43-74FD4B4C7A3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43-436D-9F43-74FD4B4C7A3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43-436D-9F43-74FD4B4C7A3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-4.4918632350689214E-2</c:v>
                </c:pt>
                <c:pt idx="1">
                  <c:v>-3.2684164107609614E-3</c:v>
                </c:pt>
                <c:pt idx="2">
                  <c:v>-3.2640778466005525E-3</c:v>
                </c:pt>
                <c:pt idx="3">
                  <c:v>-1.8193359811842912E-3</c:v>
                </c:pt>
                <c:pt idx="4">
                  <c:v>-6.6556060378977159E-5</c:v>
                </c:pt>
                <c:pt idx="5">
                  <c:v>1.2783988293478727E-3</c:v>
                </c:pt>
                <c:pt idx="6">
                  <c:v>1.4059808845913357E-2</c:v>
                </c:pt>
                <c:pt idx="7">
                  <c:v>1.4090178795036221E-2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43-436D-9F43-74FD4B4C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797576"/>
        <c:axId val="1"/>
      </c:scatterChart>
      <c:valAx>
        <c:axId val="8277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583711127018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79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1821363238686"/>
          <c:y val="0.9204921861831491"/>
          <c:w val="0.692425196850393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Sgr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145161290322581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1-4C36-9C86-79A5E51665F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1.0144000189029612E-2</c:v>
                </c:pt>
                <c:pt idx="2">
                  <c:v>1.9928499925299548E-2</c:v>
                </c:pt>
                <c:pt idx="3">
                  <c:v>-4.0132999994966667E-2</c:v>
                </c:pt>
                <c:pt idx="4">
                  <c:v>-6.9499999517574906E-4</c:v>
                </c:pt>
                <c:pt idx="6">
                  <c:v>-1.8630000849952921E-3</c:v>
                </c:pt>
                <c:pt idx="7">
                  <c:v>3.3628500132181216E-2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1-4C36-9C86-79A5E51665F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1-4C36-9C86-79A5E51665F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1-4C36-9C86-79A5E51665F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1-4C36-9C86-79A5E51665F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1-4C36-9C86-79A5E51665F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2.5999999999999999E-3</c:v>
                  </c:pt>
                  <c:pt idx="4">
                    <c:v>2.0999999999999999E-3</c:v>
                  </c:pt>
                  <c:pt idx="6">
                    <c:v>0.02</c:v>
                  </c:pt>
                  <c:pt idx="7">
                    <c:v>0.03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1-4C36-9C86-79A5E51665F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-5324</c:v>
                </c:pt>
                <c:pt idx="1">
                  <c:v>-524</c:v>
                </c:pt>
                <c:pt idx="2">
                  <c:v>-523.5</c:v>
                </c:pt>
                <c:pt idx="3">
                  <c:v>-357</c:v>
                </c:pt>
                <c:pt idx="4">
                  <c:v>-155</c:v>
                </c:pt>
                <c:pt idx="5">
                  <c:v>0</c:v>
                </c:pt>
                <c:pt idx="6">
                  <c:v>1473</c:v>
                </c:pt>
                <c:pt idx="7">
                  <c:v>1476.5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-4.4918632350689214E-2</c:v>
                </c:pt>
                <c:pt idx="1">
                  <c:v>-3.2684164107609614E-3</c:v>
                </c:pt>
                <c:pt idx="2">
                  <c:v>-3.2640778466005525E-3</c:v>
                </c:pt>
                <c:pt idx="3">
                  <c:v>-1.8193359811842912E-3</c:v>
                </c:pt>
                <c:pt idx="4">
                  <c:v>-6.6556060378977159E-5</c:v>
                </c:pt>
                <c:pt idx="5">
                  <c:v>1.2783988293478727E-3</c:v>
                </c:pt>
                <c:pt idx="6">
                  <c:v>1.4059808845913357E-2</c:v>
                </c:pt>
                <c:pt idx="7">
                  <c:v>1.4090178795036221E-2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1-4C36-9C86-79A5E516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799736"/>
        <c:axId val="1"/>
      </c:scatterChart>
      <c:valAx>
        <c:axId val="82779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79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741935483871"/>
          <c:y val="0.92073298764483702"/>
          <c:w val="0.737096774193548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371475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BE42F5-6098-A405-09BF-92C6D8E28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27</xdr:col>
      <xdr:colOff>66675</xdr:colOff>
      <xdr:row>18</xdr:row>
      <xdr:rowOff>133349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3B26D4-757B-83E3-ACE8-69440EC85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28" t="s">
        <v>30</v>
      </c>
    </row>
    <row r="2" spans="1:7" s="7" customFormat="1" ht="12.95" customHeight="1" x14ac:dyDescent="0.2">
      <c r="A2" s="7" t="s">
        <v>24</v>
      </c>
      <c r="B2" s="7" t="s">
        <v>31</v>
      </c>
      <c r="C2" s="8"/>
      <c r="D2" s="8"/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>
        <v>28752.22</v>
      </c>
      <c r="D4" s="11">
        <v>4.6704309999999998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v>53617.59</v>
      </c>
      <c r="D7" s="42" t="s">
        <v>35</v>
      </c>
    </row>
    <row r="8" spans="1:7" s="7" customFormat="1" ht="12.95" customHeight="1" x14ac:dyDescent="0.2">
      <c r="A8" s="7" t="s">
        <v>3</v>
      </c>
      <c r="C8" s="7">
        <v>4.6704309999999998</v>
      </c>
      <c r="D8" s="42" t="s">
        <v>35</v>
      </c>
    </row>
    <row r="9" spans="1:7" s="7" customFormat="1" ht="12.95" customHeight="1" x14ac:dyDescent="0.2">
      <c r="A9" s="12" t="s">
        <v>36</v>
      </c>
      <c r="C9" s="13">
        <v>-9.5</v>
      </c>
      <c r="D9" s="7" t="s">
        <v>37</v>
      </c>
    </row>
    <row r="10" spans="1:7" s="7" customFormat="1" ht="12.95" customHeight="1" thickBot="1" x14ac:dyDescent="0.25">
      <c r="C10" s="14" t="s">
        <v>20</v>
      </c>
      <c r="D10" s="14" t="s">
        <v>21</v>
      </c>
    </row>
    <row r="11" spans="1:7" s="7" customFormat="1" ht="12.95" customHeight="1" x14ac:dyDescent="0.2">
      <c r="A11" s="7" t="s">
        <v>16</v>
      </c>
      <c r="C11" s="15">
        <f ca="1">INTERCEPT(INDIRECT($G$11):G992,INDIRECT($F$11):F992)</f>
        <v>1.2783988293478727E-3</v>
      </c>
      <c r="D11" s="8"/>
      <c r="F11" s="16" t="str">
        <f>"F"&amp;E19</f>
        <v>F21</v>
      </c>
      <c r="G11" s="15" t="str">
        <f>"G"&amp;E19</f>
        <v>G21</v>
      </c>
    </row>
    <row r="12" spans="1:7" s="7" customFormat="1" ht="12.95" customHeight="1" x14ac:dyDescent="0.2">
      <c r="A12" s="7" t="s">
        <v>17</v>
      </c>
      <c r="C12" s="15">
        <f ca="1">SLOPE(INDIRECT($G$11):G992,INDIRECT($F$11):F992)</f>
        <v>8.677128320818386E-6</v>
      </c>
      <c r="D12" s="8"/>
      <c r="E12" s="36" t="s">
        <v>47</v>
      </c>
      <c r="F12" s="37" t="s">
        <v>50</v>
      </c>
    </row>
    <row r="13" spans="1:7" s="7" customFormat="1" ht="12.95" customHeight="1" x14ac:dyDescent="0.2">
      <c r="A13" s="7" t="s">
        <v>19</v>
      </c>
      <c r="C13" s="8" t="s">
        <v>14</v>
      </c>
      <c r="D13" s="17" t="s">
        <v>43</v>
      </c>
      <c r="E13" s="33" t="s">
        <v>43</v>
      </c>
      <c r="F13" s="38">
        <v>1</v>
      </c>
    </row>
    <row r="14" spans="1:7" s="7" customFormat="1" ht="12.95" customHeight="1" x14ac:dyDescent="0.2">
      <c r="D14" s="17" t="s">
        <v>38</v>
      </c>
      <c r="E14" s="33" t="s">
        <v>38</v>
      </c>
      <c r="F14" s="39">
        <f ca="1">NOW()+15018.5+$C$9/24</f>
        <v>60683.804202662031</v>
      </c>
    </row>
    <row r="15" spans="1:7" s="7" customFormat="1" ht="12.95" customHeight="1" x14ac:dyDescent="0.2">
      <c r="A15" s="18" t="s">
        <v>18</v>
      </c>
      <c r="C15" s="19">
        <f ca="1">(C7+C11)+(C8+C12)*INT(MAX(F21:F3533))</f>
        <v>60511.160241840225</v>
      </c>
      <c r="D15" s="17" t="s">
        <v>44</v>
      </c>
      <c r="E15" s="33" t="s">
        <v>44</v>
      </c>
      <c r="F15" s="39">
        <f ca="1">ROUND(2*($F$14-$C$7)/$C$8,0)/2+$F$13</f>
        <v>1514</v>
      </c>
    </row>
    <row r="16" spans="1:7" s="7" customFormat="1" ht="12.95" customHeight="1" x14ac:dyDescent="0.2">
      <c r="A16" s="9" t="s">
        <v>4</v>
      </c>
      <c r="C16" s="20">
        <f ca="1">+C8+C12</f>
        <v>4.6704396771283205</v>
      </c>
      <c r="D16" s="17" t="s">
        <v>39</v>
      </c>
      <c r="E16" s="33" t="s">
        <v>39</v>
      </c>
      <c r="F16" s="39">
        <f ca="1">ROUND(2*($F$14-$C$15)/$C$16,0)/2+$F$13</f>
        <v>38</v>
      </c>
    </row>
    <row r="17" spans="1:17" s="7" customFormat="1" ht="12.95" customHeight="1" thickBot="1" x14ac:dyDescent="0.25">
      <c r="A17" s="17" t="s">
        <v>29</v>
      </c>
      <c r="C17" s="7">
        <f>COUNT(C21:C2191)</f>
        <v>8</v>
      </c>
      <c r="D17" s="17" t="s">
        <v>40</v>
      </c>
      <c r="E17" s="34" t="s">
        <v>48</v>
      </c>
      <c r="F17" s="40">
        <f ca="1">+$C$15+$C$16*$F$16-15018.5-$C$9/24</f>
        <v>45670.53278290444</v>
      </c>
    </row>
    <row r="18" spans="1:17" s="7" customFormat="1" ht="12.95" customHeight="1" thickTop="1" thickBot="1" x14ac:dyDescent="0.25">
      <c r="A18" s="9" t="s">
        <v>5</v>
      </c>
      <c r="C18" s="21">
        <f ca="1">+C15</f>
        <v>60511.160241840225</v>
      </c>
      <c r="D18" s="32">
        <f ca="1">+C16</f>
        <v>4.6704396771283205</v>
      </c>
      <c r="E18" s="35" t="s">
        <v>49</v>
      </c>
      <c r="F18" s="41">
        <f ca="1">+($C$15+$C$16*$F$16)-($C$16/2)-15018.5-$C$9/24</f>
        <v>45668.197563065878</v>
      </c>
    </row>
    <row r="19" spans="1:17" s="7" customFormat="1" ht="12.95" customHeight="1" thickTop="1" x14ac:dyDescent="0.2">
      <c r="A19" s="22" t="s">
        <v>42</v>
      </c>
      <c r="E19" s="23">
        <v>21</v>
      </c>
    </row>
    <row r="20" spans="1:17" s="7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4" t="s">
        <v>12</v>
      </c>
      <c r="I20" s="24" t="s">
        <v>45</v>
      </c>
      <c r="J20" s="24" t="s">
        <v>35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4" t="s">
        <v>15</v>
      </c>
    </row>
    <row r="21" spans="1:17" s="7" customFormat="1" ht="12.95" customHeight="1" x14ac:dyDescent="0.2">
      <c r="A21" s="7" t="s">
        <v>12</v>
      </c>
      <c r="C21" s="26">
        <v>28752.22</v>
      </c>
      <c r="D21" s="26" t="s">
        <v>14</v>
      </c>
      <c r="E21" s="7">
        <f>+(C21-C$7)/C$8</f>
        <v>-5323.9990056592196</v>
      </c>
      <c r="F21" s="7">
        <f>ROUND(2*E21,0)/2</f>
        <v>-5324</v>
      </c>
      <c r="H21" s="7">
        <v>0</v>
      </c>
      <c r="O21" s="7">
        <f ca="1">+C$11+C$12*$F21</f>
        <v>-4.4918632350689214E-2</v>
      </c>
      <c r="Q21" s="27">
        <f>+C21-15018.5</f>
        <v>13733.720000000001</v>
      </c>
    </row>
    <row r="22" spans="1:17" s="7" customFormat="1" ht="12.95" customHeight="1" x14ac:dyDescent="0.2">
      <c r="A22" s="3" t="s">
        <v>32</v>
      </c>
      <c r="B22" s="4" t="s">
        <v>33</v>
      </c>
      <c r="C22" s="3">
        <v>51170.294300000183</v>
      </c>
      <c r="D22" s="3">
        <v>1.9E-3</v>
      </c>
      <c r="E22" s="7">
        <f>+(C22-C$7)/C$8</f>
        <v>-523.99782803767221</v>
      </c>
      <c r="F22" s="7">
        <f>ROUND(2*E22,0)/2</f>
        <v>-524</v>
      </c>
      <c r="G22" s="7">
        <f>+C22-(C$7+F22*C$8)</f>
        <v>1.0144000189029612E-2</v>
      </c>
      <c r="I22" s="7">
        <f>+G22</f>
        <v>1.0144000189029612E-2</v>
      </c>
      <c r="O22" s="7">
        <f ca="1">+C$11+C$12*$F22</f>
        <v>-3.2684164107609614E-3</v>
      </c>
      <c r="Q22" s="27">
        <f>+C22-15018.5</f>
        <v>36151.794300000183</v>
      </c>
    </row>
    <row r="23" spans="1:17" s="7" customFormat="1" ht="12.95" customHeight="1" x14ac:dyDescent="0.2">
      <c r="A23" s="3" t="s">
        <v>32</v>
      </c>
      <c r="B23" s="4" t="s">
        <v>34</v>
      </c>
      <c r="C23" s="3">
        <v>51172.639299999923</v>
      </c>
      <c r="D23" s="3">
        <v>2.5999999999999999E-3</v>
      </c>
      <c r="E23" s="7">
        <f>+(C23-C$7)/C$8</f>
        <v>-523.49573304906426</v>
      </c>
      <c r="F23" s="7">
        <f>ROUND(2*E23,0)/2</f>
        <v>-523.5</v>
      </c>
      <c r="G23" s="7">
        <f>+C23-(C$7+F23*C$8)</f>
        <v>1.9928499925299548E-2</v>
      </c>
      <c r="I23" s="7">
        <f>+G23</f>
        <v>1.9928499925299548E-2</v>
      </c>
      <c r="O23" s="7">
        <f ca="1">+C$11+C$12*$F23</f>
        <v>-3.2640778466005525E-3</v>
      </c>
      <c r="Q23" s="27">
        <f>+C23-15018.5</f>
        <v>36154.139299999923</v>
      </c>
    </row>
    <row r="24" spans="1:17" s="7" customFormat="1" ht="12.95" customHeight="1" x14ac:dyDescent="0.2">
      <c r="A24" s="7" t="s">
        <v>35</v>
      </c>
      <c r="C24" s="26">
        <v>51950.205999999998</v>
      </c>
      <c r="D24" s="26"/>
      <c r="E24" s="7">
        <f>+(C24-C$7)/C$8</f>
        <v>-357.00859299709134</v>
      </c>
      <c r="F24" s="7">
        <f>ROUND(2*E24,0)/2</f>
        <v>-357</v>
      </c>
      <c r="G24" s="7">
        <f>+C24-(C$7+F24*C$8)</f>
        <v>-4.0132999994966667E-2</v>
      </c>
      <c r="I24" s="7">
        <f>+G24</f>
        <v>-4.0132999994966667E-2</v>
      </c>
      <c r="O24" s="7">
        <f ca="1">+C$11+C$12*$F24</f>
        <v>-1.8193359811842912E-3</v>
      </c>
      <c r="Q24" s="27">
        <f>+C24-15018.5</f>
        <v>36931.705999999998</v>
      </c>
    </row>
    <row r="25" spans="1:17" s="7" customFormat="1" ht="12.95" customHeight="1" x14ac:dyDescent="0.2">
      <c r="A25" s="5" t="s">
        <v>41</v>
      </c>
      <c r="B25" s="6" t="s">
        <v>33</v>
      </c>
      <c r="C25" s="5">
        <v>52893.672500000001</v>
      </c>
      <c r="D25" s="5">
        <v>2.0999999999999999E-3</v>
      </c>
      <c r="E25" s="7">
        <f>+(C25-C$7)/C$8</f>
        <v>-155.00014880853522</v>
      </c>
      <c r="F25" s="7">
        <f>ROUND(2*E25,0)/2</f>
        <v>-155</v>
      </c>
      <c r="G25" s="7">
        <f>+C25-(C$7+F25*C$8)</f>
        <v>-6.9499999517574906E-4</v>
      </c>
      <c r="I25" s="7">
        <f>+G25</f>
        <v>-6.9499999517574906E-4</v>
      </c>
      <c r="O25" s="7">
        <f ca="1">+C$11+C$12*$F25</f>
        <v>-6.6556060378977159E-5</v>
      </c>
      <c r="Q25" s="27">
        <f>+C25-15018.5</f>
        <v>37875.172500000001</v>
      </c>
    </row>
    <row r="26" spans="1:17" s="7" customFormat="1" ht="12.95" customHeight="1" x14ac:dyDescent="0.2">
      <c r="A26" s="42" t="s">
        <v>35</v>
      </c>
      <c r="C26" s="26">
        <v>53617.59</v>
      </c>
      <c r="D26" s="26"/>
      <c r="E26" s="7">
        <f>+(C26-C$7)/C$8</f>
        <v>0</v>
      </c>
      <c r="F26" s="7">
        <f>ROUND(2*E26,0)/2</f>
        <v>0</v>
      </c>
      <c r="G26" s="7">
        <f>+C26-(C$7+F26*C$8)</f>
        <v>0</v>
      </c>
      <c r="J26" s="7">
        <f>+G26</f>
        <v>0</v>
      </c>
      <c r="O26" s="7">
        <f ca="1">+C$11+C$12*$F26</f>
        <v>1.2783988293478727E-3</v>
      </c>
      <c r="Q26" s="27">
        <f>+C26-15018.5</f>
        <v>38599.089999999997</v>
      </c>
    </row>
    <row r="27" spans="1:17" s="7" customFormat="1" ht="12.95" customHeight="1" x14ac:dyDescent="0.2">
      <c r="A27" s="29" t="s">
        <v>46</v>
      </c>
      <c r="B27" s="30" t="s">
        <v>33</v>
      </c>
      <c r="C27" s="31">
        <v>60497.132999999914</v>
      </c>
      <c r="D27" s="29">
        <v>0.02</v>
      </c>
      <c r="E27" s="7">
        <f>+(C27-C$7)/C$8</f>
        <v>1472.9996011074606</v>
      </c>
      <c r="F27" s="7">
        <f>ROUND(2*E27,0)/2</f>
        <v>1473</v>
      </c>
      <c r="G27" s="7">
        <f>+C27-(C$7+F27*C$8)</f>
        <v>-1.8630000849952921E-3</v>
      </c>
      <c r="I27" s="7">
        <f>+G27</f>
        <v>-1.8630000849952921E-3</v>
      </c>
      <c r="O27" s="7">
        <f ca="1">+C$11+C$12*$F27</f>
        <v>1.4059808845913357E-2</v>
      </c>
      <c r="Q27" s="27">
        <f>+C27-15018.5</f>
        <v>45478.632999999914</v>
      </c>
    </row>
    <row r="28" spans="1:17" s="7" customFormat="1" ht="12.95" customHeight="1" x14ac:dyDescent="0.2">
      <c r="A28" s="29" t="s">
        <v>46</v>
      </c>
      <c r="B28" s="30" t="s">
        <v>34</v>
      </c>
      <c r="C28" s="31">
        <v>60513.51500000013</v>
      </c>
      <c r="D28" s="29">
        <v>0.03</v>
      </c>
      <c r="E28" s="7">
        <f>+(C28-C$7)/C$8</f>
        <v>1476.5072002991017</v>
      </c>
      <c r="F28" s="7">
        <f>ROUND(2*E28,0)/2</f>
        <v>1476.5</v>
      </c>
      <c r="G28" s="7">
        <f>+C28-(C$7+F28*C$8)</f>
        <v>3.3628500132181216E-2</v>
      </c>
      <c r="I28" s="7">
        <f>+G28</f>
        <v>3.3628500132181216E-2</v>
      </c>
      <c r="O28" s="7">
        <f ca="1">+C$11+C$12*$F28</f>
        <v>1.4090178795036221E-2</v>
      </c>
      <c r="Q28" s="27">
        <f>+C28-15018.5</f>
        <v>45495.01500000013</v>
      </c>
    </row>
    <row r="29" spans="1:17" s="7" customFormat="1" ht="12.95" customHeight="1" x14ac:dyDescent="0.2">
      <c r="C29" s="26"/>
      <c r="D29" s="26"/>
      <c r="Q29" s="27"/>
    </row>
    <row r="30" spans="1:17" s="7" customFormat="1" ht="12.95" customHeight="1" x14ac:dyDescent="0.2">
      <c r="C30" s="26"/>
      <c r="D30" s="26"/>
      <c r="Q30" s="27"/>
    </row>
    <row r="31" spans="1:17" s="7" customFormat="1" ht="12.95" customHeight="1" x14ac:dyDescent="0.2">
      <c r="D31" s="8"/>
      <c r="Q31" s="27"/>
    </row>
    <row r="32" spans="1:17" x14ac:dyDescent="0.2">
      <c r="D32" s="2"/>
      <c r="Q32" s="1"/>
    </row>
    <row r="33" spans="4:17" x14ac:dyDescent="0.2">
      <c r="D33" s="2"/>
      <c r="Q33" s="1"/>
    </row>
    <row r="34" spans="4:17" x14ac:dyDescent="0.2">
      <c r="D34" s="2"/>
    </row>
    <row r="35" spans="4:17" x14ac:dyDescent="0.2">
      <c r="D35" s="2"/>
    </row>
    <row r="36" spans="4:17" x14ac:dyDescent="0.2">
      <c r="D36" s="2"/>
    </row>
    <row r="37" spans="4:17" x14ac:dyDescent="0.2">
      <c r="D37" s="2"/>
    </row>
    <row r="38" spans="4:17" x14ac:dyDescent="0.2">
      <c r="D38" s="2"/>
    </row>
    <row r="39" spans="4:17" x14ac:dyDescent="0.2">
      <c r="D39" s="2"/>
    </row>
    <row r="40" spans="4:17" x14ac:dyDescent="0.2">
      <c r="D40" s="2"/>
    </row>
    <row r="41" spans="4:17" x14ac:dyDescent="0.2">
      <c r="D41" s="2"/>
    </row>
    <row r="42" spans="4:17" x14ac:dyDescent="0.2">
      <c r="D42" s="2"/>
    </row>
    <row r="43" spans="4:17" x14ac:dyDescent="0.2">
      <c r="D43" s="2"/>
    </row>
    <row r="44" spans="4:17" x14ac:dyDescent="0.2">
      <c r="D44" s="2"/>
    </row>
    <row r="45" spans="4:17" x14ac:dyDescent="0.2">
      <c r="D45" s="2"/>
    </row>
    <row r="46" spans="4:17" x14ac:dyDescent="0.2">
      <c r="D46" s="2"/>
    </row>
    <row r="47" spans="4:17" x14ac:dyDescent="0.2">
      <c r="D47" s="2"/>
    </row>
    <row r="48" spans="4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sortState xmlns:xlrd2="http://schemas.microsoft.com/office/spreadsheetml/2017/richdata2" ref="A21:S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2025-01-08T06:18:03Z</dcterms:modified>
</cp:coreProperties>
</file>