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D20A70B-F02D-4268-9698-2F72CDB034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9" i="1" l="1"/>
  <c r="F69" i="1" s="1"/>
  <c r="G69" i="1" s="1"/>
  <c r="K69" i="1" s="1"/>
  <c r="Q69" i="1"/>
  <c r="F14" i="1"/>
  <c r="Q68" i="1"/>
  <c r="E68" i="1"/>
  <c r="F68" i="1" s="1"/>
  <c r="G68" i="1" s="1"/>
  <c r="K68" i="1" s="1"/>
  <c r="C9" i="1"/>
  <c r="D9" i="1"/>
  <c r="C17" i="1"/>
  <c r="Q21" i="1"/>
  <c r="E22" i="1"/>
  <c r="F22" i="1" s="1"/>
  <c r="G22" i="1" s="1"/>
  <c r="J22" i="1" s="1"/>
  <c r="Q22" i="1"/>
  <c r="Q23" i="1"/>
  <c r="Q24" i="1"/>
  <c r="Q25" i="1"/>
  <c r="E26" i="1"/>
  <c r="F26" i="1" s="1"/>
  <c r="G26" i="1" s="1"/>
  <c r="J26" i="1" s="1"/>
  <c r="Q26" i="1"/>
  <c r="Q27" i="1"/>
  <c r="Q28" i="1"/>
  <c r="E29" i="1"/>
  <c r="F29" i="1" s="1"/>
  <c r="G29" i="1" s="1"/>
  <c r="J29" i="1" s="1"/>
  <c r="Q29" i="1"/>
  <c r="E30" i="1"/>
  <c r="F30" i="1" s="1"/>
  <c r="G30" i="1" s="1"/>
  <c r="J30" i="1" s="1"/>
  <c r="Q30" i="1"/>
  <c r="Q31" i="1"/>
  <c r="Q32" i="1"/>
  <c r="E33" i="1"/>
  <c r="F33" i="1" s="1"/>
  <c r="G33" i="1" s="1"/>
  <c r="K33" i="1" s="1"/>
  <c r="Q33" i="1"/>
  <c r="Q34" i="1"/>
  <c r="Q35" i="1"/>
  <c r="Q36" i="1"/>
  <c r="Q37" i="1"/>
  <c r="E38" i="1"/>
  <c r="F38" i="1" s="1"/>
  <c r="G38" i="1" s="1"/>
  <c r="K38" i="1" s="1"/>
  <c r="Q38" i="1"/>
  <c r="Q39" i="1"/>
  <c r="E40" i="1"/>
  <c r="F40" i="1" s="1"/>
  <c r="G40" i="1" s="1"/>
  <c r="J40" i="1" s="1"/>
  <c r="Q40" i="1"/>
  <c r="Q41" i="1"/>
  <c r="E42" i="1"/>
  <c r="F42" i="1" s="1"/>
  <c r="G42" i="1" s="1"/>
  <c r="J42" i="1" s="1"/>
  <c r="Q42" i="1"/>
  <c r="E43" i="1"/>
  <c r="F43" i="1" s="1"/>
  <c r="G43" i="1" s="1"/>
  <c r="J43" i="1" s="1"/>
  <c r="Q43" i="1"/>
  <c r="E44" i="1"/>
  <c r="F44" i="1" s="1"/>
  <c r="G44" i="1" s="1"/>
  <c r="J44" i="1" s="1"/>
  <c r="Q44" i="1"/>
  <c r="E45" i="1"/>
  <c r="F45" i="1" s="1"/>
  <c r="G45" i="1" s="1"/>
  <c r="J45" i="1" s="1"/>
  <c r="Q45" i="1"/>
  <c r="E46" i="1"/>
  <c r="F46" i="1" s="1"/>
  <c r="G46" i="1" s="1"/>
  <c r="J46" i="1" s="1"/>
  <c r="Q46" i="1"/>
  <c r="E47" i="1"/>
  <c r="F47" i="1" s="1"/>
  <c r="G47" i="1" s="1"/>
  <c r="J47" i="1" s="1"/>
  <c r="Q47" i="1"/>
  <c r="E48" i="1"/>
  <c r="F48" i="1" s="1"/>
  <c r="G48" i="1" s="1"/>
  <c r="K48" i="1" s="1"/>
  <c r="Q48" i="1"/>
  <c r="E49" i="1"/>
  <c r="F49" i="1" s="1"/>
  <c r="G49" i="1" s="1"/>
  <c r="J49" i="1" s="1"/>
  <c r="Q49" i="1"/>
  <c r="E50" i="1"/>
  <c r="F50" i="1" s="1"/>
  <c r="G50" i="1" s="1"/>
  <c r="J50" i="1" s="1"/>
  <c r="Q50" i="1"/>
  <c r="E51" i="1"/>
  <c r="F51" i="1" s="1"/>
  <c r="G51" i="1" s="1"/>
  <c r="J51" i="1" s="1"/>
  <c r="Q51" i="1"/>
  <c r="E52" i="1"/>
  <c r="F52" i="1" s="1"/>
  <c r="G52" i="1" s="1"/>
  <c r="J52" i="1" s="1"/>
  <c r="Q52" i="1"/>
  <c r="E53" i="1"/>
  <c r="F53" i="1" s="1"/>
  <c r="G53" i="1" s="1"/>
  <c r="K53" i="1" s="1"/>
  <c r="Q53" i="1"/>
  <c r="E54" i="1"/>
  <c r="F54" i="1" s="1"/>
  <c r="G54" i="1" s="1"/>
  <c r="K54" i="1" s="1"/>
  <c r="Q54" i="1"/>
  <c r="E55" i="1"/>
  <c r="F55" i="1" s="1"/>
  <c r="G55" i="1" s="1"/>
  <c r="K55" i="1" s="1"/>
  <c r="Q55" i="1"/>
  <c r="E56" i="1"/>
  <c r="F56" i="1" s="1"/>
  <c r="G56" i="1" s="1"/>
  <c r="K56" i="1" s="1"/>
  <c r="Q56" i="1"/>
  <c r="E57" i="1"/>
  <c r="F57" i="1" s="1"/>
  <c r="G57" i="1" s="1"/>
  <c r="J57" i="1" s="1"/>
  <c r="Q57" i="1"/>
  <c r="E58" i="1"/>
  <c r="F58" i="1" s="1"/>
  <c r="G58" i="1" s="1"/>
  <c r="J58" i="1" s="1"/>
  <c r="Q58" i="1"/>
  <c r="E59" i="1"/>
  <c r="F59" i="1" s="1"/>
  <c r="G59" i="1" s="1"/>
  <c r="K59" i="1" s="1"/>
  <c r="Q59" i="1"/>
  <c r="E60" i="1"/>
  <c r="F60" i="1" s="1"/>
  <c r="G60" i="1" s="1"/>
  <c r="K60" i="1" s="1"/>
  <c r="Q60" i="1"/>
  <c r="E61" i="1"/>
  <c r="F61" i="1" s="1"/>
  <c r="G61" i="1" s="1"/>
  <c r="K61" i="1" s="1"/>
  <c r="Q61" i="1"/>
  <c r="E62" i="1"/>
  <c r="F62" i="1" s="1"/>
  <c r="G62" i="1" s="1"/>
  <c r="K62" i="1" s="1"/>
  <c r="Q62" i="1"/>
  <c r="E63" i="1"/>
  <c r="F63" i="1" s="1"/>
  <c r="G63" i="1" s="1"/>
  <c r="K63" i="1" s="1"/>
  <c r="Q63" i="1"/>
  <c r="E64" i="1"/>
  <c r="F64" i="1" s="1"/>
  <c r="G64" i="1" s="1"/>
  <c r="K64" i="1" s="1"/>
  <c r="Q64" i="1"/>
  <c r="E65" i="1"/>
  <c r="F65" i="1" s="1"/>
  <c r="G65" i="1" s="1"/>
  <c r="K65" i="1" s="1"/>
  <c r="Q65" i="1"/>
  <c r="E66" i="1"/>
  <c r="F66" i="1" s="1"/>
  <c r="G66" i="1" s="1"/>
  <c r="K66" i="1" s="1"/>
  <c r="Q66" i="1"/>
  <c r="E67" i="1"/>
  <c r="F67" i="1" s="1"/>
  <c r="G67" i="1" s="1"/>
  <c r="K67" i="1" s="1"/>
  <c r="Q67" i="1"/>
  <c r="A11" i="2"/>
  <c r="D11" i="2"/>
  <c r="G11" i="2"/>
  <c r="C11" i="2"/>
  <c r="H11" i="2"/>
  <c r="B11" i="2"/>
  <c r="A12" i="2"/>
  <c r="D12" i="2"/>
  <c r="G12" i="2"/>
  <c r="C12" i="2"/>
  <c r="H12" i="2"/>
  <c r="B12" i="2"/>
  <c r="A13" i="2"/>
  <c r="D13" i="2"/>
  <c r="G13" i="2"/>
  <c r="C13" i="2"/>
  <c r="H13" i="2"/>
  <c r="B13" i="2"/>
  <c r="A14" i="2"/>
  <c r="B14" i="2"/>
  <c r="C14" i="2"/>
  <c r="D14" i="2"/>
  <c r="G14" i="2"/>
  <c r="H14" i="2"/>
  <c r="A15" i="2"/>
  <c r="C15" i="2"/>
  <c r="D15" i="2"/>
  <c r="G15" i="2"/>
  <c r="H15" i="2"/>
  <c r="B15" i="2"/>
  <c r="A16" i="2"/>
  <c r="B16" i="2"/>
  <c r="D16" i="2"/>
  <c r="G16" i="2"/>
  <c r="C16" i="2"/>
  <c r="H16" i="2"/>
  <c r="A17" i="2"/>
  <c r="B17" i="2"/>
  <c r="D17" i="2"/>
  <c r="G17" i="2"/>
  <c r="C17" i="2"/>
  <c r="H17" i="2"/>
  <c r="A18" i="2"/>
  <c r="D18" i="2"/>
  <c r="G18" i="2"/>
  <c r="C18" i="2"/>
  <c r="H18" i="2"/>
  <c r="B18" i="2"/>
  <c r="A19" i="2"/>
  <c r="C19" i="2"/>
  <c r="D19" i="2"/>
  <c r="E19" i="2"/>
  <c r="G19" i="2"/>
  <c r="H19" i="2"/>
  <c r="B19" i="2"/>
  <c r="A20" i="2"/>
  <c r="D20" i="2"/>
  <c r="G20" i="2"/>
  <c r="C20" i="2"/>
  <c r="H20" i="2"/>
  <c r="B20" i="2"/>
  <c r="A21" i="2"/>
  <c r="D21" i="2"/>
  <c r="G21" i="2"/>
  <c r="C21" i="2"/>
  <c r="H21" i="2"/>
  <c r="B21" i="2"/>
  <c r="A22" i="2"/>
  <c r="B22" i="2"/>
  <c r="C22" i="2"/>
  <c r="D22" i="2"/>
  <c r="G22" i="2"/>
  <c r="H22" i="2"/>
  <c r="A23" i="2"/>
  <c r="C23" i="2"/>
  <c r="D23" i="2"/>
  <c r="G23" i="2"/>
  <c r="H23" i="2"/>
  <c r="B23" i="2"/>
  <c r="A24" i="2"/>
  <c r="B24" i="2"/>
  <c r="D24" i="2"/>
  <c r="G24" i="2"/>
  <c r="C24" i="2"/>
  <c r="H24" i="2"/>
  <c r="A25" i="2"/>
  <c r="B25" i="2"/>
  <c r="C25" i="2"/>
  <c r="D25" i="2"/>
  <c r="G25" i="2"/>
  <c r="H25" i="2"/>
  <c r="A26" i="2"/>
  <c r="D26" i="2"/>
  <c r="G26" i="2"/>
  <c r="C26" i="2"/>
  <c r="H26" i="2"/>
  <c r="B26" i="2"/>
  <c r="A27" i="2"/>
  <c r="C27" i="2"/>
  <c r="D27" i="2"/>
  <c r="G27" i="2"/>
  <c r="H27" i="2"/>
  <c r="B27" i="2"/>
  <c r="A28" i="2"/>
  <c r="B28" i="2"/>
  <c r="D28" i="2"/>
  <c r="G28" i="2"/>
  <c r="C28" i="2"/>
  <c r="H28" i="2"/>
  <c r="A29" i="2"/>
  <c r="D29" i="2"/>
  <c r="G29" i="2"/>
  <c r="C29" i="2"/>
  <c r="H29" i="2"/>
  <c r="B29" i="2"/>
  <c r="A30" i="2"/>
  <c r="B30" i="2"/>
  <c r="C30" i="2"/>
  <c r="D30" i="2"/>
  <c r="G30" i="2"/>
  <c r="H30" i="2"/>
  <c r="A31" i="2"/>
  <c r="C31" i="2"/>
  <c r="E31" i="2"/>
  <c r="D31" i="2"/>
  <c r="G31" i="2"/>
  <c r="H31" i="2"/>
  <c r="B31" i="2"/>
  <c r="A32" i="2"/>
  <c r="B32" i="2"/>
  <c r="D32" i="2"/>
  <c r="G32" i="2"/>
  <c r="C32" i="2"/>
  <c r="H32" i="2"/>
  <c r="A33" i="2"/>
  <c r="B33" i="2"/>
  <c r="C33" i="2"/>
  <c r="D33" i="2"/>
  <c r="G33" i="2"/>
  <c r="H33" i="2"/>
  <c r="A34" i="2"/>
  <c r="D34" i="2"/>
  <c r="G34" i="2"/>
  <c r="C34" i="2"/>
  <c r="H34" i="2"/>
  <c r="B34" i="2"/>
  <c r="A35" i="2"/>
  <c r="C35" i="2"/>
  <c r="D35" i="2"/>
  <c r="E35" i="2"/>
  <c r="G35" i="2"/>
  <c r="H35" i="2"/>
  <c r="B35" i="2"/>
  <c r="A36" i="2"/>
  <c r="B36" i="2"/>
  <c r="D36" i="2"/>
  <c r="G36" i="2"/>
  <c r="C36" i="2"/>
  <c r="H36" i="2"/>
  <c r="A37" i="2"/>
  <c r="D37" i="2"/>
  <c r="G37" i="2"/>
  <c r="C37" i="2"/>
  <c r="E37" i="2"/>
  <c r="H37" i="2"/>
  <c r="B37" i="2"/>
  <c r="A38" i="2"/>
  <c r="B38" i="2"/>
  <c r="C38" i="2"/>
  <c r="E38" i="2"/>
  <c r="D38" i="2"/>
  <c r="G38" i="2"/>
  <c r="H38" i="2"/>
  <c r="A39" i="2"/>
  <c r="C39" i="2"/>
  <c r="D39" i="2"/>
  <c r="G39" i="2"/>
  <c r="H39" i="2"/>
  <c r="B39" i="2"/>
  <c r="A40" i="2"/>
  <c r="B40" i="2"/>
  <c r="D40" i="2"/>
  <c r="G40" i="2"/>
  <c r="C40" i="2"/>
  <c r="E40" i="2"/>
  <c r="H40" i="2"/>
  <c r="A41" i="2"/>
  <c r="B41" i="2"/>
  <c r="C41" i="2"/>
  <c r="D41" i="2"/>
  <c r="E41" i="2"/>
  <c r="G41" i="2"/>
  <c r="H41" i="2"/>
  <c r="A42" i="2"/>
  <c r="D42" i="2"/>
  <c r="G42" i="2"/>
  <c r="C42" i="2"/>
  <c r="H42" i="2"/>
  <c r="B42" i="2"/>
  <c r="A43" i="2"/>
  <c r="C43" i="2"/>
  <c r="D43" i="2"/>
  <c r="E43" i="2"/>
  <c r="G43" i="2"/>
  <c r="H43" i="2"/>
  <c r="B43" i="2"/>
  <c r="A44" i="2"/>
  <c r="B44" i="2"/>
  <c r="D44" i="2"/>
  <c r="G44" i="2"/>
  <c r="C44" i="2"/>
  <c r="E44" i="2"/>
  <c r="H44" i="2"/>
  <c r="A45" i="2"/>
  <c r="D45" i="2"/>
  <c r="G45" i="2"/>
  <c r="C45" i="2"/>
  <c r="H45" i="2"/>
  <c r="B45" i="2"/>
  <c r="A46" i="2"/>
  <c r="B46" i="2"/>
  <c r="C46" i="2"/>
  <c r="D46" i="2"/>
  <c r="G46" i="2"/>
  <c r="H46" i="2"/>
  <c r="A47" i="2"/>
  <c r="C47" i="2"/>
  <c r="E47" i="2"/>
  <c r="D47" i="2"/>
  <c r="G47" i="2"/>
  <c r="H47" i="2"/>
  <c r="B47" i="2"/>
  <c r="A48" i="2"/>
  <c r="B48" i="2"/>
  <c r="D48" i="2"/>
  <c r="G48" i="2"/>
  <c r="C48" i="2"/>
  <c r="E48" i="2"/>
  <c r="H48" i="2"/>
  <c r="E35" i="1"/>
  <c r="E24" i="2" s="1"/>
  <c r="F35" i="1"/>
  <c r="G35" i="1" s="1"/>
  <c r="J35" i="1" s="1"/>
  <c r="E31" i="1"/>
  <c r="F31" i="1" s="1"/>
  <c r="G31" i="1" s="1"/>
  <c r="J31" i="1" s="1"/>
  <c r="E27" i="1"/>
  <c r="E16" i="2" s="1"/>
  <c r="E23" i="1"/>
  <c r="E12" i="2" s="1"/>
  <c r="E36" i="1"/>
  <c r="E25" i="2" s="1"/>
  <c r="E32" i="1"/>
  <c r="E21" i="2" s="1"/>
  <c r="E28" i="1"/>
  <c r="F28" i="1" s="1"/>
  <c r="G28" i="1" s="1"/>
  <c r="J28" i="1" s="1"/>
  <c r="E24" i="1"/>
  <c r="F24" i="1" s="1"/>
  <c r="G24" i="1" s="1"/>
  <c r="J24" i="1" s="1"/>
  <c r="E36" i="2" l="1"/>
  <c r="E27" i="2"/>
  <c r="E11" i="2"/>
  <c r="F32" i="1"/>
  <c r="G32" i="1" s="1"/>
  <c r="K32" i="1" s="1"/>
  <c r="E42" i="2"/>
  <c r="E20" i="2"/>
  <c r="E45" i="2"/>
  <c r="E32" i="2"/>
  <c r="F23" i="1"/>
  <c r="G23" i="1" s="1"/>
  <c r="J23" i="1" s="1"/>
  <c r="E22" i="2"/>
  <c r="E17" i="2"/>
  <c r="E18" i="2"/>
  <c r="E33" i="2"/>
  <c r="F27" i="1"/>
  <c r="G27" i="1" s="1"/>
  <c r="J27" i="1" s="1"/>
  <c r="E13" i="2"/>
  <c r="E15" i="2"/>
  <c r="E39" i="2"/>
  <c r="E34" i="2"/>
  <c r="F15" i="1"/>
  <c r="E29" i="2"/>
  <c r="E41" i="1"/>
  <c r="E25" i="1"/>
  <c r="E46" i="2"/>
  <c r="E34" i="1"/>
  <c r="E39" i="1"/>
  <c r="E37" i="1"/>
  <c r="E21" i="1"/>
  <c r="F21" i="1" s="1"/>
  <c r="G21" i="1" s="1"/>
  <c r="J21" i="1" s="1"/>
  <c r="F36" i="1"/>
  <c r="G36" i="1" s="1"/>
  <c r="J36" i="1" s="1"/>
  <c r="E26" i="2" l="1"/>
  <c r="F37" i="1"/>
  <c r="G37" i="1" s="1"/>
  <c r="K37" i="1" s="1"/>
  <c r="E28" i="2"/>
  <c r="F39" i="1"/>
  <c r="G39" i="1" s="1"/>
  <c r="J39" i="1" s="1"/>
  <c r="E23" i="2"/>
  <c r="F34" i="1"/>
  <c r="G34" i="1" s="1"/>
  <c r="J34" i="1" s="1"/>
  <c r="E14" i="2"/>
  <c r="F25" i="1"/>
  <c r="G25" i="1" s="1"/>
  <c r="E30" i="2"/>
  <c r="F41" i="1"/>
  <c r="G41" i="1" s="1"/>
  <c r="J41" i="1" s="1"/>
  <c r="C12" i="1"/>
  <c r="C11" i="1"/>
  <c r="O69" i="1" l="1"/>
  <c r="O55" i="1"/>
  <c r="O30" i="1"/>
  <c r="O27" i="1"/>
  <c r="O57" i="1"/>
  <c r="C15" i="1"/>
  <c r="O35" i="1"/>
  <c r="O53" i="1"/>
  <c r="O68" i="1"/>
  <c r="O54" i="1"/>
  <c r="O45" i="1"/>
  <c r="O59" i="1"/>
  <c r="O44" i="1"/>
  <c r="O37" i="1"/>
  <c r="O67" i="1"/>
  <c r="O60" i="1"/>
  <c r="O61" i="1"/>
  <c r="O43" i="1"/>
  <c r="O32" i="1"/>
  <c r="O33" i="1"/>
  <c r="O31" i="1"/>
  <c r="O56" i="1"/>
  <c r="O62" i="1"/>
  <c r="O36" i="1"/>
  <c r="O34" i="1"/>
  <c r="O26" i="1"/>
  <c r="O51" i="1"/>
  <c r="O22" i="1"/>
  <c r="O63" i="1"/>
  <c r="O64" i="1"/>
  <c r="O42" i="1"/>
  <c r="O66" i="1"/>
  <c r="O58" i="1"/>
  <c r="O38" i="1"/>
  <c r="O24" i="1"/>
  <c r="O50" i="1"/>
  <c r="O46" i="1"/>
  <c r="O52" i="1"/>
  <c r="O49" i="1"/>
  <c r="O28" i="1"/>
  <c r="O21" i="1"/>
  <c r="O41" i="1"/>
  <c r="O65" i="1"/>
  <c r="O29" i="1"/>
  <c r="O23" i="1"/>
  <c r="O47" i="1"/>
  <c r="O40" i="1"/>
  <c r="O25" i="1"/>
  <c r="O39" i="1"/>
  <c r="O48" i="1"/>
  <c r="C16" i="1"/>
  <c r="D18" i="1" s="1"/>
  <c r="J2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<sst xmlns="http://schemas.openxmlformats.org/spreadsheetml/2006/main" count="461" uniqueCount="224">
  <si>
    <t>V1123 Tau / GSC 01238-00831</t>
  </si>
  <si>
    <t>System Type:</t>
  </si>
  <si>
    <t>EW</t>
  </si>
  <si>
    <t>IBVS 5439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</si>
  <si>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</si>
  <si>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</si>
  <si>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</si>
  <si>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</si>
  <si>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</si>
  <si>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</si>
  <si>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</si>
  <si>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</si>
  <si>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</si>
  <si>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</si>
  <si>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</si>
  <si>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</si>
  <si>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</si>
  <si>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</si>
  <si>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</si>
  <si>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</si>
  <si>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</si>
  <si>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</si>
  <si>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</si>
  <si>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</si>
  <si>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</si>
  <si>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</si>
  <si>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</si>
  <si>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</si>
  <si>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</si>
  <si>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</si>
  <si>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</si>
  <si>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</si>
  <si>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</si>
  <si>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</si>
  <si>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</si>
  <si>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</si>
  <si>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OEJV</t>
  </si>
  <si>
    <t>S5</t>
  </si>
  <si>
    <t>Misc</t>
  </si>
  <si>
    <t>Lin Fit</t>
  </si>
  <si>
    <t>Q. Fit</t>
  </si>
  <si>
    <t>Date</t>
  </si>
  <si>
    <t>BAD?</t>
  </si>
  <si>
    <t>IBVS 5372</t>
  </si>
  <si>
    <t>II</t>
  </si>
  <si>
    <t>I</t>
  </si>
  <si>
    <t>IBVS 5548</t>
  </si>
  <si>
    <t>IBVS 5603</t>
  </si>
  <si>
    <t>IBVS 5602</t>
  </si>
  <si>
    <t>IBVS 5731</t>
  </si>
  <si>
    <t>IBVS 5761</t>
  </si>
  <si>
    <t>JAVSO..41..122</t>
  </si>
  <si>
    <t>IBVS 5979</t>
  </si>
  <si>
    <t>IBVS 5887</t>
  </si>
  <si>
    <t>IBVS 5959</t>
  </si>
  <si>
    <t>JAVSO..44…69</t>
  </si>
  <si>
    <t>IBVS 5945</t>
  </si>
  <si>
    <t>IBVS 5960</t>
  </si>
  <si>
    <t>OEJV 0160</t>
  </si>
  <si>
    <t>IBVS 6011</t>
  </si>
  <si>
    <t>IBVS 6118</t>
  </si>
  <si>
    <t>OEJV 0181</t>
  </si>
  <si>
    <t>IBVS 6196</t>
  </si>
  <si>
    <t>VSB 060</t>
  </si>
  <si>
    <t>V</t>
  </si>
  <si>
    <t>VSB-064</t>
  </si>
  <si>
    <t>JAVSO..46..184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</si>
  <si>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</si>
  <si>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</si>
  <si>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</si>
  <si>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</si>
  <si>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</si>
  <si>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</si>
  <si>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</si>
  <si>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2451832.5518 </t>
  </si>
  <si>
    <t> 15.10.2000 01:14 </t>
  </si>
  <si>
    <t> 0.0044 </t>
  </si>
  <si>
    <t>E </t>
  </si>
  <si>
    <t>?</t>
  </si>
  <si>
    <t> T.Hegedüs et al. </t>
  </si>
  <si>
    <t>IBVS 5372 </t>
  </si>
  <si>
    <t>2451837.3523 </t>
  </si>
  <si>
    <t> 19.10.2000 20:27 </t>
  </si>
  <si>
    <t> 0.0055 </t>
  </si>
  <si>
    <t>2451877.5481 </t>
  </si>
  <si>
    <t> 29.11.2000 01:09 </t>
  </si>
  <si>
    <t> 0.0065 </t>
  </si>
  <si>
    <t>2452591.4541 </t>
  </si>
  <si>
    <t> 12.11.2002 22:53 </t>
  </si>
  <si>
    <t> 0.0046 </t>
  </si>
  <si>
    <t> G.Tas et al. </t>
  </si>
  <si>
    <t>IBVS 5548 </t>
  </si>
  <si>
    <t>2452606.4543 </t>
  </si>
  <si>
    <t> 27.11.2002 22:54 </t>
  </si>
  <si>
    <t> 0.0067 </t>
  </si>
  <si>
    <t> Derman&amp;Kalci </t>
  </si>
  <si>
    <t>IBVS 5439 </t>
  </si>
  <si>
    <t>2452634.4492 </t>
  </si>
  <si>
    <t> 25.12.2002 22:46 </t>
  </si>
  <si>
    <t> 0.0052 </t>
  </si>
  <si>
    <t>2452963.4075 </t>
  </si>
  <si>
    <t> 19.11.2003 21:46 </t>
  </si>
  <si>
    <t> 0.0060 </t>
  </si>
  <si>
    <t>2452964.4052 </t>
  </si>
  <si>
    <t> 20.11.2003 21:43 </t>
  </si>
  <si>
    <t> 0.0038 </t>
  </si>
  <si>
    <t>2452976.4034 </t>
  </si>
  <si>
    <t> 02.12.2003 21:40 </t>
  </si>
  <si>
    <t> 0.0036 </t>
  </si>
  <si>
    <t>2453001.4001 </t>
  </si>
  <si>
    <t> 27.12.2003 21:36 </t>
  </si>
  <si>
    <t> 0.0035 </t>
  </si>
  <si>
    <t>2453020.5977 </t>
  </si>
  <si>
    <t> 16.01.2004 02:20 </t>
  </si>
  <si>
    <t> S.Dvorak </t>
  </si>
  <si>
    <t>IBVS 5603 </t>
  </si>
  <si>
    <t>2453020.5985 </t>
  </si>
  <si>
    <t> 16.01.2004 02:21 </t>
  </si>
  <si>
    <t> R.Nelson </t>
  </si>
  <si>
    <t>IBVS 5602 </t>
  </si>
  <si>
    <t>2453716.3052 </t>
  </si>
  <si>
    <t> 11.12.2005 19:19 </t>
  </si>
  <si>
    <t> 0.0008 </t>
  </si>
  <si>
    <t>C </t>
  </si>
  <si>
    <t> Agerer </t>
  </si>
  <si>
    <t>BAVM 178 </t>
  </si>
  <si>
    <t>2453716.5067 </t>
  </si>
  <si>
    <t> 12.12.2005 00:09 </t>
  </si>
  <si>
    <t> 0.0023 </t>
  </si>
  <si>
    <t>2454016.4684 </t>
  </si>
  <si>
    <t> 07.10.2006 23:14 </t>
  </si>
  <si>
    <t> 0.0027 </t>
  </si>
  <si>
    <t>o</t>
  </si>
  <si>
    <t> U. Schmidt </t>
  </si>
  <si>
    <t>BAVM 183 </t>
  </si>
  <si>
    <t>2454089.6576 </t>
  </si>
  <si>
    <t> 20.12.2006 03:46 </t>
  </si>
  <si>
    <t> 0.0014 </t>
  </si>
  <si>
    <t>V </t>
  </si>
  <si>
    <t> V.Petriew </t>
  </si>
  <si>
    <t> JAAVSO 41;122 </t>
  </si>
  <si>
    <t>2454366.6209 </t>
  </si>
  <si>
    <t> 23.09.2007 02:54 </t>
  </si>
  <si>
    <t> 0.0004 </t>
  </si>
  <si>
    <t> T.Borkovits et al. </t>
  </si>
  <si>
    <t>IBVS 5979 </t>
  </si>
  <si>
    <t>2454719.5734 </t>
  </si>
  <si>
    <t> 10.09.2008 01:45 </t>
  </si>
  <si>
    <t> -0.0015 </t>
  </si>
  <si>
    <t>m</t>
  </si>
  <si>
    <t> Z.Sahin &amp; B.Sivrilikaya </t>
  </si>
  <si>
    <t>IBVS 5887 </t>
  </si>
  <si>
    <t>2454722.5754 </t>
  </si>
  <si>
    <t> 13.09.2008 01:48 </t>
  </si>
  <si>
    <t> T.Kiliçoglu &amp; G.Yazici </t>
  </si>
  <si>
    <t>2454725.5735 </t>
  </si>
  <si>
    <t> 16.09.2008 01:45 </t>
  </si>
  <si>
    <t> -0.0007 </t>
  </si>
  <si>
    <t> G.Gökay &amp; S.Eryilmaz </t>
  </si>
  <si>
    <t>2454726.5752 </t>
  </si>
  <si>
    <t> 17.09.2008 01:48 </t>
  </si>
  <si>
    <t> 0.0012 </t>
  </si>
  <si>
    <t> Y.Çetni &amp; S.Saydam </t>
  </si>
  <si>
    <t>2454740.5726 </t>
  </si>
  <si>
    <t> 01.10.2008 01:44 </t>
  </si>
  <si>
    <t> S.Saydam &amp; M.Seki </t>
  </si>
  <si>
    <t>2454747.5707 </t>
  </si>
  <si>
    <t> 08.10.2008 01:41 </t>
  </si>
  <si>
    <t> -0.0006 </t>
  </si>
  <si>
    <t> E.Çöl &amp; K.Topbas </t>
  </si>
  <si>
    <t>2454753.3699 </t>
  </si>
  <si>
    <t> 13.10.2008 20:52 </t>
  </si>
  <si>
    <t> T.Çakir &amp; M.Seki </t>
  </si>
  <si>
    <t>2454753.5706 </t>
  </si>
  <si>
    <t> 14.10.2008 01:41 </t>
  </si>
  <si>
    <t> 0.0000 </t>
  </si>
  <si>
    <t> A.Elmasli &amp; S.Aydin </t>
  </si>
  <si>
    <t>2455175.3162 </t>
  </si>
  <si>
    <t> 09.12.2009 19:35 </t>
  </si>
  <si>
    <t> 0.0001 </t>
  </si>
  <si>
    <t>R</t>
  </si>
  <si>
    <t> F.Agerer </t>
  </si>
  <si>
    <t>BAVM 214 </t>
  </si>
  <si>
    <t>2455175.3181 </t>
  </si>
  <si>
    <t> 09.12.2009 19:38 </t>
  </si>
  <si>
    <t> 0.0020 </t>
  </si>
  <si>
    <t>B</t>
  </si>
  <si>
    <t>2455175.5120 </t>
  </si>
  <si>
    <t> 10.12.2009 00:17 </t>
  </si>
  <si>
    <t> -0.0041 </t>
  </si>
  <si>
    <t>2455175.5154 </t>
  </si>
  <si>
    <t> 10.12.2009 00:22 </t>
  </si>
  <si>
    <t>2455175.5169 </t>
  </si>
  <si>
    <t> 10.12.2009 00:24 </t>
  </si>
  <si>
    <t>2455201.7135 </t>
  </si>
  <si>
    <t> 05.01.2010 05:07 </t>
  </si>
  <si>
    <t> R.Diethelm </t>
  </si>
  <si>
    <t>IBVS 5945 </t>
  </si>
  <si>
    <t>2455497.8738 </t>
  </si>
  <si>
    <t> 28.10.2010 08:58 </t>
  </si>
  <si>
    <t>IBVS 5960 </t>
  </si>
  <si>
    <t>2455829.63114 </t>
  </si>
  <si>
    <t> 25.09.2011 03:08 </t>
  </si>
  <si>
    <t> -0.00059 </t>
  </si>
  <si>
    <t> K.Ho?kova </t>
  </si>
  <si>
    <t>OEJV 0160 </t>
  </si>
  <si>
    <t>2455868.8268 </t>
  </si>
  <si>
    <t> 03.11.2011 07:50 </t>
  </si>
  <si>
    <t>IBVS 6011 </t>
  </si>
  <si>
    <t>2456643.3277 </t>
  </si>
  <si>
    <t> 16.12.2013 19:51 </t>
  </si>
  <si>
    <t> 0.0010 </t>
  </si>
  <si>
    <t>-I</t>
  </si>
  <si>
    <t>BAVM 234 </t>
  </si>
  <si>
    <t>2456643.5258 </t>
  </si>
  <si>
    <t> 17.12.2013 00:37 </t>
  </si>
  <si>
    <t>10360</t>
  </si>
  <si>
    <t> -0.0009 </t>
  </si>
  <si>
    <t>JAVSO, 50, 133</t>
  </si>
  <si>
    <t>JBAV 96</t>
  </si>
  <si>
    <t xml:space="preserve">Mag </t>
  </si>
  <si>
    <t>Next ToM-P</t>
  </si>
  <si>
    <t>Next ToM-S</t>
  </si>
  <si>
    <t>9.755 (0.265)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</si>
</sst>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m/d/yyyy\ h:mm"/>
    <numFmt numFmtId="166" formatCode="0.0000"/>
    <numFmt numFmtId="167" formatCode="dd/mm/yyyy"/>
    <numFmt numFmtId="168" formatCode="0.00000"/>
  </numFmts>
  <fonts count="22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trike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top"/>
    </xf>
    <xf numFmtId="4" fontId="18" fillId="0" borderId="0" applyFill="0" applyBorder="0" applyProtection="0">
      <alignment vertical="top"/>
    </xf>
    <xf numFmtId="3" fontId="18" fillId="0" borderId="0" applyFill="0" applyBorder="0" applyProtection="0">
      <alignment vertical="top"/>
    </xf>
    <xf numFmtId="164" fontId="18" fillId="0" borderId="0" applyFill="0" applyBorder="0" applyProtection="0">
      <alignment vertical="top"/>
    </xf>
    <xf numFmtId="0" fontId="18" fillId="0" borderId="0" applyFill="0" applyBorder="0" applyProtection="0">
      <alignment vertical="top"/>
    </xf>
    <xf numFmtId="2" fontId="18" fillId="0" borderId="0" applyFill="0" applyBorder="0" applyProtection="0">
      <alignment vertical="top"/>
    </xf>
    <xf numFmtId="0" fontId="17" fillId="0" borderId="0" applyNumberFormat="0" applyFill="0" applyBorder="0" applyProtection="0">
      <alignment vertical="top"/>
    </xf>
    <xf numFmtId="0" fontId="1" fillId="0" borderId="0"/>
    <xf numFmtId="0" fontId="18" fillId="0" borderId="0"/>
  </cellStyleXfs>
  <cellXfs count="95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0" xfId="0" applyAlignment="1">
      <alignment vertical="center"/>
    </xf>
    <xf numFmtId="0" fontId="3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 applyAlignment="1"/>
    <xf numFmtId="0" fontId="7" fillId="0" borderId="0" xfId="0" applyFont="1">
      <alignment vertical="top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3" xfId="0" applyBorder="1" applyAlignment="1">
      <alignment horizontal="center"/>
    </xf>
    <xf numFmtId="0" fontId="8" fillId="0" borderId="0" xfId="0" applyFont="1">
      <alignment vertical="top"/>
    </xf>
    <xf numFmtId="0" fontId="6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4" xfId="0" applyBorder="1">
      <alignment vertical="top"/>
    </xf>
    <xf numFmtId="165" fontId="8" fillId="0" borderId="0" xfId="0" applyNumberFormat="1" applyFont="1">
      <alignment vertical="top"/>
    </xf>
    <xf numFmtId="0" fontId="6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0" fillId="0" borderId="0" xfId="0" applyFont="1" applyAlignment="1"/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left"/>
    </xf>
    <xf numFmtId="0" fontId="11" fillId="0" borderId="0" xfId="0" applyFont="1" applyAlignment="1"/>
    <xf numFmtId="166" fontId="6" fillId="0" borderId="0" xfId="1" applyNumberFormat="1" applyFont="1" applyFill="1" applyBorder="1" applyAlignment="1" applyProtection="1">
      <alignment horizontal="left"/>
    </xf>
    <xf numFmtId="0" fontId="10" fillId="0" borderId="0" xfId="0" applyFont="1">
      <alignment vertical="top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7" fillId="2" borderId="0" xfId="0" applyFont="1" applyFill="1" applyAlignment="1"/>
    <xf numFmtId="0" fontId="10" fillId="0" borderId="0" xfId="0" applyFont="1" applyAlignment="1">
      <alignment horizontal="center" vertical="center"/>
    </xf>
    <xf numFmtId="0" fontId="12" fillId="0" borderId="0" xfId="8" applyFont="1" applyAlignment="1">
      <alignment horizontal="left" vertical="center"/>
    </xf>
    <xf numFmtId="0" fontId="12" fillId="0" borderId="0" xfId="8" applyFont="1" applyAlignment="1">
      <alignment horizontal="center" vertic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4" fillId="0" borderId="0" xfId="7" applyFont="1"/>
    <xf numFmtId="0" fontId="14" fillId="0" borderId="0" xfId="7" applyFont="1" applyAlignment="1">
      <alignment horizontal="center"/>
    </xf>
    <xf numFmtId="0" fontId="14" fillId="0" borderId="0" xfId="7" applyFont="1" applyAlignment="1">
      <alignment horizontal="left"/>
    </xf>
    <xf numFmtId="0" fontId="10" fillId="0" borderId="0" xfId="7" applyFont="1" applyAlignment="1">
      <alignment wrapText="1"/>
    </xf>
    <xf numFmtId="0" fontId="10" fillId="0" borderId="0" xfId="7" applyFont="1" applyAlignment="1">
      <alignment horizontal="center" wrapText="1"/>
    </xf>
    <xf numFmtId="0" fontId="10" fillId="0" borderId="0" xfId="7" applyFont="1" applyAlignment="1">
      <alignment horizontal="left" wrapText="1"/>
    </xf>
    <xf numFmtId="0" fontId="10" fillId="0" borderId="0" xfId="7" applyFont="1" applyAlignment="1">
      <alignment horizontal="left"/>
    </xf>
    <xf numFmtId="0" fontId="10" fillId="0" borderId="0" xfId="7" applyFont="1" applyAlignment="1">
      <alignment horizontal="center"/>
    </xf>
    <xf numFmtId="0" fontId="12" fillId="0" borderId="0" xfId="8" applyFont="1" applyAlignment="1">
      <alignment horizontal="left"/>
    </xf>
    <xf numFmtId="0" fontId="12" fillId="0" borderId="0" xfId="8" applyFont="1" applyAlignment="1">
      <alignment horizontal="center"/>
    </xf>
    <xf numFmtId="166" fontId="12" fillId="0" borderId="0" xfId="8" applyNumberFormat="1" applyFont="1" applyAlignment="1">
      <alignment horizontal="left" vertical="top"/>
    </xf>
    <xf numFmtId="0" fontId="12" fillId="0" borderId="0" xfId="8" applyFont="1" applyAlignment="1">
      <alignment horizontal="left" vertical="top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7" applyFont="1"/>
    <xf numFmtId="0" fontId="15" fillId="0" borderId="0" xfId="7" applyFont="1" applyAlignment="1">
      <alignment horizontal="center"/>
    </xf>
    <xf numFmtId="0" fontId="15" fillId="0" borderId="0" xfId="7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6" applyNumberFormat="1" applyFill="1" applyBorder="1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10" fillId="3" borderId="12" xfId="0" applyFont="1" applyFill="1" applyBorder="1" applyAlignment="1">
      <alignment horizontal="left" vertical="top" wrapText="1" indent="1"/>
    </xf>
    <xf numFmtId="0" fontId="10" fillId="3" borderId="12" xfId="0" applyFont="1" applyFill="1" applyBorder="1" applyAlignment="1">
      <alignment horizontal="center" vertical="top" wrapText="1"/>
    </xf>
    <xf numFmtId="0" fontId="10" fillId="3" borderId="12" xfId="0" applyFont="1" applyFill="1" applyBorder="1" applyAlignment="1">
      <alignment horizontal="right" vertical="top" wrapText="1"/>
    </xf>
    <xf numFmtId="0" fontId="17" fillId="3" borderId="12" xfId="6" applyNumberFormat="1" applyFill="1" applyBorder="1" applyAlignment="1" applyProtection="1">
      <alignment horizontal="right" vertical="top" wrapText="1"/>
    </xf>
    <xf numFmtId="167" fontId="0" fillId="0" borderId="0" xfId="0" applyNumberFormat="1" applyAlignment="1"/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7" fillId="0" borderId="0" xfId="0" applyFont="1" applyAlignment="1"/>
    <xf numFmtId="168" fontId="19" fillId="0" borderId="0" xfId="0" applyNumberFormat="1" applyFont="1" applyAlignment="1">
      <alignment horizontal="left" vertical="center" wrapText="1"/>
    </xf>
    <xf numFmtId="0" fontId="19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168" fontId="19" fillId="0" borderId="0" xfId="0" applyNumberFormat="1" applyFont="1" applyAlignment="1" applyProtection="1">
      <alignment horizontal="left" vertical="center" wrapText="1"/>
      <protection locked="0"/>
    </xf>
    <xf numFmtId="0" fontId="0" fillId="0" borderId="13" xfId="0" applyBorder="1">
      <alignment vertical="top"/>
    </xf>
    <xf numFmtId="0" fontId="20" fillId="0" borderId="16" xfId="0" applyFont="1" applyBorder="1" applyAlignment="1">
      <alignment horizontal="right" vertical="center"/>
    </xf>
    <xf numFmtId="0" fontId="20" fillId="0" borderId="18" xfId="0" applyFont="1" applyBorder="1" applyAlignment="1">
      <alignment horizontal="right" vertical="center"/>
    </xf>
    <xf numFmtId="0" fontId="0" fillId="4" borderId="14" xfId="0" applyFont="1" applyFill="1" applyBorder="1" applyAlignment="1">
      <alignment horizontal="right" vertical="center"/>
    </xf>
    <xf numFmtId="0" fontId="0" fillId="0" borderId="0" xfId="0" applyFill="1">
      <alignment vertical="top"/>
    </xf>
    <xf numFmtId="0" fontId="0" fillId="0" borderId="0" xfId="0" applyFill="1" applyAlignment="1"/>
    <xf numFmtId="0" fontId="0" fillId="4" borderId="15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right" vertical="center"/>
    </xf>
    <xf numFmtId="0" fontId="21" fillId="0" borderId="17" xfId="0" applyFont="1" applyBorder="1" applyAlignment="1">
      <alignment horizontal="right" vertical="center"/>
    </xf>
    <xf numFmtId="22" fontId="21" fillId="0" borderId="17" xfId="0" applyNumberFormat="1" applyFont="1" applyBorder="1" applyAlignment="1">
      <alignment horizontal="right" vertical="center"/>
    </xf>
    <xf numFmtId="22" fontId="21" fillId="0" borderId="19" xfId="0" applyNumberFormat="1" applyFont="1" applyBorder="1" applyAlignment="1">
      <alignment horizontal="right" vertical="center"/>
    </xf>
  </cellXfs>
  <cellStyles count="9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yperlink" xfId="6" builtinId="8"/>
    <cellStyle name="Normal" xfId="0" builtinId="0"/>
    <cellStyle name="Normal_A" xfId="7" xr:uid="{00000000-0005-0000-0000-000007000000}"/>
    <cellStyle name="Normal_A_1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V1123 Tau - O-C Diagr.</a:t>
            </a:r>
          </a:p>
        </c:rich>
      </c:tx>
      <c:layout>
        <c:manualLayout>
          <c:xMode val="edge"/>
          <c:yMode val="edge"/>
          <c:x val="0.35333385826771652"/>
          <c:y val="3.45911949685534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22239720034996"/>
          <c:y val="0.14570296637448621"/>
          <c:w val="0.82611233595800526"/>
          <c:h val="0.6561861371102196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Active!$F$21:$F$670</c:f>
              <c:numCache>
                <c:formatCode>General</c:formatCode>
                <c:ptCount val="650"/>
                <c:pt idx="0">
                  <c:v>0</c:v>
                </c:pt>
                <c:pt idx="1">
                  <c:v>8331.5</c:v>
                </c:pt>
                <c:pt idx="2">
                  <c:v>8343.5</c:v>
                </c:pt>
                <c:pt idx="3">
                  <c:v>8444</c:v>
                </c:pt>
                <c:pt idx="4">
                  <c:v>10229</c:v>
                </c:pt>
                <c:pt idx="5">
                  <c:v>10266.5</c:v>
                </c:pt>
                <c:pt idx="6">
                  <c:v>10336.5</c:v>
                </c:pt>
                <c:pt idx="7">
                  <c:v>11159</c:v>
                </c:pt>
                <c:pt idx="8">
                  <c:v>11161.5</c:v>
                </c:pt>
                <c:pt idx="9">
                  <c:v>11191.5</c:v>
                </c:pt>
                <c:pt idx="10">
                  <c:v>11254</c:v>
                </c:pt>
                <c:pt idx="11">
                  <c:v>11302</c:v>
                </c:pt>
                <c:pt idx="12">
                  <c:v>11302</c:v>
                </c:pt>
                <c:pt idx="13">
                  <c:v>13041.5</c:v>
                </c:pt>
                <c:pt idx="14">
                  <c:v>13042</c:v>
                </c:pt>
                <c:pt idx="15">
                  <c:v>13792</c:v>
                </c:pt>
                <c:pt idx="16">
                  <c:v>13975</c:v>
                </c:pt>
                <c:pt idx="17">
                  <c:v>14667.5</c:v>
                </c:pt>
                <c:pt idx="18">
                  <c:v>15550</c:v>
                </c:pt>
                <c:pt idx="19">
                  <c:v>15557.5</c:v>
                </c:pt>
                <c:pt idx="20">
                  <c:v>15565</c:v>
                </c:pt>
                <c:pt idx="21">
                  <c:v>15567.5</c:v>
                </c:pt>
                <c:pt idx="22">
                  <c:v>15602.5</c:v>
                </c:pt>
                <c:pt idx="23">
                  <c:v>15620</c:v>
                </c:pt>
                <c:pt idx="24">
                  <c:v>15634.5</c:v>
                </c:pt>
                <c:pt idx="25">
                  <c:v>15635</c:v>
                </c:pt>
                <c:pt idx="26">
                  <c:v>16689.5</c:v>
                </c:pt>
                <c:pt idx="27">
                  <c:v>14803</c:v>
                </c:pt>
                <c:pt idx="28">
                  <c:v>16689.5</c:v>
                </c:pt>
                <c:pt idx="29">
                  <c:v>16690</c:v>
                </c:pt>
                <c:pt idx="30">
                  <c:v>16690</c:v>
                </c:pt>
                <c:pt idx="31">
                  <c:v>16690</c:v>
                </c:pt>
                <c:pt idx="32">
                  <c:v>16755.5</c:v>
                </c:pt>
                <c:pt idx="33">
                  <c:v>17496</c:v>
                </c:pt>
                <c:pt idx="34">
                  <c:v>18325.5</c:v>
                </c:pt>
                <c:pt idx="35">
                  <c:v>18423.5</c:v>
                </c:pt>
                <c:pt idx="36">
                  <c:v>20360</c:v>
                </c:pt>
                <c:pt idx="37">
                  <c:v>20360.5</c:v>
                </c:pt>
                <c:pt idx="38">
                  <c:v>22053.5</c:v>
                </c:pt>
                <c:pt idx="39">
                  <c:v>22110.5</c:v>
                </c:pt>
                <c:pt idx="40">
                  <c:v>22113.5</c:v>
                </c:pt>
                <c:pt idx="41">
                  <c:v>22214.5</c:v>
                </c:pt>
                <c:pt idx="42">
                  <c:v>22215</c:v>
                </c:pt>
                <c:pt idx="43">
                  <c:v>22215.5</c:v>
                </c:pt>
                <c:pt idx="44">
                  <c:v>23795</c:v>
                </c:pt>
                <c:pt idx="45">
                  <c:v>24190.5</c:v>
                </c:pt>
                <c:pt idx="46">
                  <c:v>25766.5</c:v>
                </c:pt>
                <c:pt idx="47">
                  <c:v>27768.5</c:v>
                </c:pt>
                <c:pt idx="48">
                  <c:v>29284</c:v>
                </c:pt>
              </c:numCache>
            </c:numRef>
          </c:xVal>
          <c:yVal>
            <c:numRef>
              <c:f>Active!$H$21:$H$670</c:f>
              <c:numCache>
                <c:formatCode>General</c:formatCode>
                <c:ptCount val="6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CE-4C69-802A-52F404E0D2DF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Active!$F$21:$F$670</c:f>
              <c:numCache>
                <c:formatCode>General</c:formatCode>
                <c:ptCount val="650"/>
                <c:pt idx="0">
                  <c:v>0</c:v>
                </c:pt>
                <c:pt idx="1">
                  <c:v>8331.5</c:v>
                </c:pt>
                <c:pt idx="2">
                  <c:v>8343.5</c:v>
                </c:pt>
                <c:pt idx="3">
                  <c:v>8444</c:v>
                </c:pt>
                <c:pt idx="4">
                  <c:v>10229</c:v>
                </c:pt>
                <c:pt idx="5">
                  <c:v>10266.5</c:v>
                </c:pt>
                <c:pt idx="6">
                  <c:v>10336.5</c:v>
                </c:pt>
                <c:pt idx="7">
                  <c:v>11159</c:v>
                </c:pt>
                <c:pt idx="8">
                  <c:v>11161.5</c:v>
                </c:pt>
                <c:pt idx="9">
                  <c:v>11191.5</c:v>
                </c:pt>
                <c:pt idx="10">
                  <c:v>11254</c:v>
                </c:pt>
                <c:pt idx="11">
                  <c:v>11302</c:v>
                </c:pt>
                <c:pt idx="12">
                  <c:v>11302</c:v>
                </c:pt>
                <c:pt idx="13">
                  <c:v>13041.5</c:v>
                </c:pt>
                <c:pt idx="14">
                  <c:v>13042</c:v>
                </c:pt>
                <c:pt idx="15">
                  <c:v>13792</c:v>
                </c:pt>
                <c:pt idx="16">
                  <c:v>13975</c:v>
                </c:pt>
                <c:pt idx="17">
                  <c:v>14667.5</c:v>
                </c:pt>
                <c:pt idx="18">
                  <c:v>15550</c:v>
                </c:pt>
                <c:pt idx="19">
                  <c:v>15557.5</c:v>
                </c:pt>
                <c:pt idx="20">
                  <c:v>15565</c:v>
                </c:pt>
                <c:pt idx="21">
                  <c:v>15567.5</c:v>
                </c:pt>
                <c:pt idx="22">
                  <c:v>15602.5</c:v>
                </c:pt>
                <c:pt idx="23">
                  <c:v>15620</c:v>
                </c:pt>
                <c:pt idx="24">
                  <c:v>15634.5</c:v>
                </c:pt>
                <c:pt idx="25">
                  <c:v>15635</c:v>
                </c:pt>
                <c:pt idx="26">
                  <c:v>16689.5</c:v>
                </c:pt>
                <c:pt idx="27">
                  <c:v>14803</c:v>
                </c:pt>
                <c:pt idx="28">
                  <c:v>16689.5</c:v>
                </c:pt>
                <c:pt idx="29">
                  <c:v>16690</c:v>
                </c:pt>
                <c:pt idx="30">
                  <c:v>16690</c:v>
                </c:pt>
                <c:pt idx="31">
                  <c:v>16690</c:v>
                </c:pt>
                <c:pt idx="32">
                  <c:v>16755.5</c:v>
                </c:pt>
                <c:pt idx="33">
                  <c:v>17496</c:v>
                </c:pt>
                <c:pt idx="34">
                  <c:v>18325.5</c:v>
                </c:pt>
                <c:pt idx="35">
                  <c:v>18423.5</c:v>
                </c:pt>
                <c:pt idx="36">
                  <c:v>20360</c:v>
                </c:pt>
                <c:pt idx="37">
                  <c:v>20360.5</c:v>
                </c:pt>
                <c:pt idx="38">
                  <c:v>22053.5</c:v>
                </c:pt>
                <c:pt idx="39">
                  <c:v>22110.5</c:v>
                </c:pt>
                <c:pt idx="40">
                  <c:v>22113.5</c:v>
                </c:pt>
                <c:pt idx="41">
                  <c:v>22214.5</c:v>
                </c:pt>
                <c:pt idx="42">
                  <c:v>22215</c:v>
                </c:pt>
                <c:pt idx="43">
                  <c:v>22215.5</c:v>
                </c:pt>
                <c:pt idx="44">
                  <c:v>23795</c:v>
                </c:pt>
                <c:pt idx="45">
                  <c:v>24190.5</c:v>
                </c:pt>
                <c:pt idx="46">
                  <c:v>25766.5</c:v>
                </c:pt>
                <c:pt idx="47">
                  <c:v>27768.5</c:v>
                </c:pt>
                <c:pt idx="48">
                  <c:v>29284</c:v>
                </c:pt>
              </c:numCache>
            </c:numRef>
          </c:xVal>
          <c:yVal>
            <c:numRef>
              <c:f>Active!$I$21:$I$670</c:f>
              <c:numCache>
                <c:formatCode>General</c:formatCode>
                <c:ptCount val="6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CE-4C69-802A-52F404E0D2D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Active!$F$21:$F$670</c:f>
              <c:numCache>
                <c:formatCode>General</c:formatCode>
                <c:ptCount val="650"/>
                <c:pt idx="0">
                  <c:v>0</c:v>
                </c:pt>
                <c:pt idx="1">
                  <c:v>8331.5</c:v>
                </c:pt>
                <c:pt idx="2">
                  <c:v>8343.5</c:v>
                </c:pt>
                <c:pt idx="3">
                  <c:v>8444</c:v>
                </c:pt>
                <c:pt idx="4">
                  <c:v>10229</c:v>
                </c:pt>
                <c:pt idx="5">
                  <c:v>10266.5</c:v>
                </c:pt>
                <c:pt idx="6">
                  <c:v>10336.5</c:v>
                </c:pt>
                <c:pt idx="7">
                  <c:v>11159</c:v>
                </c:pt>
                <c:pt idx="8">
                  <c:v>11161.5</c:v>
                </c:pt>
                <c:pt idx="9">
                  <c:v>11191.5</c:v>
                </c:pt>
                <c:pt idx="10">
                  <c:v>11254</c:v>
                </c:pt>
                <c:pt idx="11">
                  <c:v>11302</c:v>
                </c:pt>
                <c:pt idx="12">
                  <c:v>11302</c:v>
                </c:pt>
                <c:pt idx="13">
                  <c:v>13041.5</c:v>
                </c:pt>
                <c:pt idx="14">
                  <c:v>13042</c:v>
                </c:pt>
                <c:pt idx="15">
                  <c:v>13792</c:v>
                </c:pt>
                <c:pt idx="16">
                  <c:v>13975</c:v>
                </c:pt>
                <c:pt idx="17">
                  <c:v>14667.5</c:v>
                </c:pt>
                <c:pt idx="18">
                  <c:v>15550</c:v>
                </c:pt>
                <c:pt idx="19">
                  <c:v>15557.5</c:v>
                </c:pt>
                <c:pt idx="20">
                  <c:v>15565</c:v>
                </c:pt>
                <c:pt idx="21">
                  <c:v>15567.5</c:v>
                </c:pt>
                <c:pt idx="22">
                  <c:v>15602.5</c:v>
                </c:pt>
                <c:pt idx="23">
                  <c:v>15620</c:v>
                </c:pt>
                <c:pt idx="24">
                  <c:v>15634.5</c:v>
                </c:pt>
                <c:pt idx="25">
                  <c:v>15635</c:v>
                </c:pt>
                <c:pt idx="26">
                  <c:v>16689.5</c:v>
                </c:pt>
                <c:pt idx="27">
                  <c:v>14803</c:v>
                </c:pt>
                <c:pt idx="28">
                  <c:v>16689.5</c:v>
                </c:pt>
                <c:pt idx="29">
                  <c:v>16690</c:v>
                </c:pt>
                <c:pt idx="30">
                  <c:v>16690</c:v>
                </c:pt>
                <c:pt idx="31">
                  <c:v>16690</c:v>
                </c:pt>
                <c:pt idx="32">
                  <c:v>16755.5</c:v>
                </c:pt>
                <c:pt idx="33">
                  <c:v>17496</c:v>
                </c:pt>
                <c:pt idx="34">
                  <c:v>18325.5</c:v>
                </c:pt>
                <c:pt idx="35">
                  <c:v>18423.5</c:v>
                </c:pt>
                <c:pt idx="36">
                  <c:v>20360</c:v>
                </c:pt>
                <c:pt idx="37">
                  <c:v>20360.5</c:v>
                </c:pt>
                <c:pt idx="38">
                  <c:v>22053.5</c:v>
                </c:pt>
                <c:pt idx="39">
                  <c:v>22110.5</c:v>
                </c:pt>
                <c:pt idx="40">
                  <c:v>22113.5</c:v>
                </c:pt>
                <c:pt idx="41">
                  <c:v>22214.5</c:v>
                </c:pt>
                <c:pt idx="42">
                  <c:v>22215</c:v>
                </c:pt>
                <c:pt idx="43">
                  <c:v>22215.5</c:v>
                </c:pt>
                <c:pt idx="44">
                  <c:v>23795</c:v>
                </c:pt>
                <c:pt idx="45">
                  <c:v>24190.5</c:v>
                </c:pt>
                <c:pt idx="46">
                  <c:v>25766.5</c:v>
                </c:pt>
                <c:pt idx="47">
                  <c:v>27768.5</c:v>
                </c:pt>
                <c:pt idx="48">
                  <c:v>29284</c:v>
                </c:pt>
              </c:numCache>
            </c:numRef>
          </c:xVal>
          <c:yVal>
            <c:numRef>
              <c:f>Active!$J$21:$J$670</c:f>
              <c:numCache>
                <c:formatCode>General</c:formatCode>
                <c:ptCount val="650"/>
                <c:pt idx="0">
                  <c:v>0</c:v>
                </c:pt>
                <c:pt idx="1">
                  <c:v>-4.6945500005676877E-2</c:v>
                </c:pt>
                <c:pt idx="2">
                  <c:v>-4.5929500003694557E-2</c:v>
                </c:pt>
                <c:pt idx="3">
                  <c:v>-4.5808000002580229E-2</c:v>
                </c:pt>
                <c:pt idx="4">
                  <c:v>-6.3052999998035375E-2</c:v>
                </c:pt>
                <c:pt idx="5">
                  <c:v>-6.1240500006533694E-2</c:v>
                </c:pt>
                <c:pt idx="6">
                  <c:v>-6.3330500001029577E-2</c:v>
                </c:pt>
                <c:pt idx="7">
                  <c:v>-6.9663000002037734E-2</c:v>
                </c:pt>
                <c:pt idx="8">
                  <c:v>-7.1855500005767681E-2</c:v>
                </c:pt>
                <c:pt idx="9">
                  <c:v>-7.2365500003797933E-2</c:v>
                </c:pt>
                <c:pt idx="10">
                  <c:v>-7.2978000003786292E-2</c:v>
                </c:pt>
                <c:pt idx="13">
                  <c:v>-9.1015500001958571E-2</c:v>
                </c:pt>
                <c:pt idx="14">
                  <c:v>-8.9494000007107388E-2</c:v>
                </c:pt>
                <c:pt idx="15">
                  <c:v>-9.5544000003428664E-2</c:v>
                </c:pt>
                <c:pt idx="18">
                  <c:v>-0.11495000000286382</c:v>
                </c:pt>
                <c:pt idx="19">
                  <c:v>-0.11262749999877997</c:v>
                </c:pt>
                <c:pt idx="20">
                  <c:v>-0.1142050000053132</c:v>
                </c:pt>
                <c:pt idx="21">
                  <c:v>-0.11239750000095228</c:v>
                </c:pt>
                <c:pt idx="22">
                  <c:v>-0.11349250000785105</c:v>
                </c:pt>
                <c:pt idx="23">
                  <c:v>-0.1146400000070571</c:v>
                </c:pt>
                <c:pt idx="24">
                  <c:v>-0.11481650000496302</c:v>
                </c:pt>
                <c:pt idx="25">
                  <c:v>-0.11409500000445405</c:v>
                </c:pt>
                <c:pt idx="26">
                  <c:v>-0.12315150000358699</c:v>
                </c:pt>
                <c:pt idx="28">
                  <c:v>-0.12125150000792928</c:v>
                </c:pt>
                <c:pt idx="29">
                  <c:v>-0.12733000000298489</c:v>
                </c:pt>
                <c:pt idx="30">
                  <c:v>-0.12393000000884058</c:v>
                </c:pt>
                <c:pt idx="31">
                  <c:v>-0.12243000000307802</c:v>
                </c:pt>
                <c:pt idx="36">
                  <c:v>-0.15381999999954132</c:v>
                </c:pt>
                <c:pt idx="37">
                  <c:v>-0.15569849999883445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CE-4C69-802A-52F404E0D2D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Active!$F$21:$F$670</c:f>
              <c:numCache>
                <c:formatCode>General</c:formatCode>
                <c:ptCount val="650"/>
                <c:pt idx="0">
                  <c:v>0</c:v>
                </c:pt>
                <c:pt idx="1">
                  <c:v>8331.5</c:v>
                </c:pt>
                <c:pt idx="2">
                  <c:v>8343.5</c:v>
                </c:pt>
                <c:pt idx="3">
                  <c:v>8444</c:v>
                </c:pt>
                <c:pt idx="4">
                  <c:v>10229</c:v>
                </c:pt>
                <c:pt idx="5">
                  <c:v>10266.5</c:v>
                </c:pt>
                <c:pt idx="6">
                  <c:v>10336.5</c:v>
                </c:pt>
                <c:pt idx="7">
                  <c:v>11159</c:v>
                </c:pt>
                <c:pt idx="8">
                  <c:v>11161.5</c:v>
                </c:pt>
                <c:pt idx="9">
                  <c:v>11191.5</c:v>
                </c:pt>
                <c:pt idx="10">
                  <c:v>11254</c:v>
                </c:pt>
                <c:pt idx="11">
                  <c:v>11302</c:v>
                </c:pt>
                <c:pt idx="12">
                  <c:v>11302</c:v>
                </c:pt>
                <c:pt idx="13">
                  <c:v>13041.5</c:v>
                </c:pt>
                <c:pt idx="14">
                  <c:v>13042</c:v>
                </c:pt>
                <c:pt idx="15">
                  <c:v>13792</c:v>
                </c:pt>
                <c:pt idx="16">
                  <c:v>13975</c:v>
                </c:pt>
                <c:pt idx="17">
                  <c:v>14667.5</c:v>
                </c:pt>
                <c:pt idx="18">
                  <c:v>15550</c:v>
                </c:pt>
                <c:pt idx="19">
                  <c:v>15557.5</c:v>
                </c:pt>
                <c:pt idx="20">
                  <c:v>15565</c:v>
                </c:pt>
                <c:pt idx="21">
                  <c:v>15567.5</c:v>
                </c:pt>
                <c:pt idx="22">
                  <c:v>15602.5</c:v>
                </c:pt>
                <c:pt idx="23">
                  <c:v>15620</c:v>
                </c:pt>
                <c:pt idx="24">
                  <c:v>15634.5</c:v>
                </c:pt>
                <c:pt idx="25">
                  <c:v>15635</c:v>
                </c:pt>
                <c:pt idx="26">
                  <c:v>16689.5</c:v>
                </c:pt>
                <c:pt idx="27">
                  <c:v>14803</c:v>
                </c:pt>
                <c:pt idx="28">
                  <c:v>16689.5</c:v>
                </c:pt>
                <c:pt idx="29">
                  <c:v>16690</c:v>
                </c:pt>
                <c:pt idx="30">
                  <c:v>16690</c:v>
                </c:pt>
                <c:pt idx="31">
                  <c:v>16690</c:v>
                </c:pt>
                <c:pt idx="32">
                  <c:v>16755.5</c:v>
                </c:pt>
                <c:pt idx="33">
                  <c:v>17496</c:v>
                </c:pt>
                <c:pt idx="34">
                  <c:v>18325.5</c:v>
                </c:pt>
                <c:pt idx="35">
                  <c:v>18423.5</c:v>
                </c:pt>
                <c:pt idx="36">
                  <c:v>20360</c:v>
                </c:pt>
                <c:pt idx="37">
                  <c:v>20360.5</c:v>
                </c:pt>
                <c:pt idx="38">
                  <c:v>22053.5</c:v>
                </c:pt>
                <c:pt idx="39">
                  <c:v>22110.5</c:v>
                </c:pt>
                <c:pt idx="40">
                  <c:v>22113.5</c:v>
                </c:pt>
                <c:pt idx="41">
                  <c:v>22214.5</c:v>
                </c:pt>
                <c:pt idx="42">
                  <c:v>22215</c:v>
                </c:pt>
                <c:pt idx="43">
                  <c:v>22215.5</c:v>
                </c:pt>
                <c:pt idx="44">
                  <c:v>23795</c:v>
                </c:pt>
                <c:pt idx="45">
                  <c:v>24190.5</c:v>
                </c:pt>
                <c:pt idx="46">
                  <c:v>25766.5</c:v>
                </c:pt>
                <c:pt idx="47">
                  <c:v>27768.5</c:v>
                </c:pt>
                <c:pt idx="48">
                  <c:v>29284</c:v>
                </c:pt>
              </c:numCache>
            </c:numRef>
          </c:xVal>
          <c:yVal>
            <c:numRef>
              <c:f>Active!$K$21:$K$670</c:f>
              <c:numCache>
                <c:formatCode>General</c:formatCode>
                <c:ptCount val="650"/>
                <c:pt idx="11">
                  <c:v>-7.3314000008394942E-2</c:v>
                </c:pt>
                <c:pt idx="12">
                  <c:v>-7.2514000006776769E-2</c:v>
                </c:pt>
                <c:pt idx="16">
                  <c:v>-9.8475000006146729E-2</c:v>
                </c:pt>
                <c:pt idx="17">
                  <c:v>-0.10539750000316417</c:v>
                </c:pt>
                <c:pt idx="27">
                  <c:v>-0.10557100000733044</c:v>
                </c:pt>
                <c:pt idx="32">
                  <c:v>-0.12301350000780076</c:v>
                </c:pt>
                <c:pt idx="33">
                  <c:v>-0.13087200000154553</c:v>
                </c:pt>
                <c:pt idx="34">
                  <c:v>-0.13786350000737002</c:v>
                </c:pt>
                <c:pt idx="35">
                  <c:v>-0.13798949999909382</c:v>
                </c:pt>
                <c:pt idx="38">
                  <c:v>-0.16769950000161771</c:v>
                </c:pt>
                <c:pt idx="39">
                  <c:v>-0.16814850000082515</c:v>
                </c:pt>
                <c:pt idx="40">
                  <c:v>-0.16831950000778306</c:v>
                </c:pt>
                <c:pt idx="41">
                  <c:v>-0.17047650000313297</c:v>
                </c:pt>
                <c:pt idx="42">
                  <c:v>-0.16725500000757165</c:v>
                </c:pt>
                <c:pt idx="43">
                  <c:v>-0.1704335000104038</c:v>
                </c:pt>
                <c:pt idx="44">
                  <c:v>-0.18061500000476371</c:v>
                </c:pt>
                <c:pt idx="45">
                  <c:v>-0.1837085000006482</c:v>
                </c:pt>
                <c:pt idx="46">
                  <c:v>-0.1917405000058352</c:v>
                </c:pt>
                <c:pt idx="47">
                  <c:v>-0.20415450000291457</c:v>
                </c:pt>
                <c:pt idx="48">
                  <c:v>-0.20983800002431963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1CE-4C69-802A-52F404E0D2D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Active!$F$21:$F$670</c:f>
              <c:numCache>
                <c:formatCode>General</c:formatCode>
                <c:ptCount val="650"/>
                <c:pt idx="0">
                  <c:v>0</c:v>
                </c:pt>
                <c:pt idx="1">
                  <c:v>8331.5</c:v>
                </c:pt>
                <c:pt idx="2">
                  <c:v>8343.5</c:v>
                </c:pt>
                <c:pt idx="3">
                  <c:v>8444</c:v>
                </c:pt>
                <c:pt idx="4">
                  <c:v>10229</c:v>
                </c:pt>
                <c:pt idx="5">
                  <c:v>10266.5</c:v>
                </c:pt>
                <c:pt idx="6">
                  <c:v>10336.5</c:v>
                </c:pt>
                <c:pt idx="7">
                  <c:v>11159</c:v>
                </c:pt>
                <c:pt idx="8">
                  <c:v>11161.5</c:v>
                </c:pt>
                <c:pt idx="9">
                  <c:v>11191.5</c:v>
                </c:pt>
                <c:pt idx="10">
                  <c:v>11254</c:v>
                </c:pt>
                <c:pt idx="11">
                  <c:v>11302</c:v>
                </c:pt>
                <c:pt idx="12">
                  <c:v>11302</c:v>
                </c:pt>
                <c:pt idx="13">
                  <c:v>13041.5</c:v>
                </c:pt>
                <c:pt idx="14">
                  <c:v>13042</c:v>
                </c:pt>
                <c:pt idx="15">
                  <c:v>13792</c:v>
                </c:pt>
                <c:pt idx="16">
                  <c:v>13975</c:v>
                </c:pt>
                <c:pt idx="17">
                  <c:v>14667.5</c:v>
                </c:pt>
                <c:pt idx="18">
                  <c:v>15550</c:v>
                </c:pt>
                <c:pt idx="19">
                  <c:v>15557.5</c:v>
                </c:pt>
                <c:pt idx="20">
                  <c:v>15565</c:v>
                </c:pt>
                <c:pt idx="21">
                  <c:v>15567.5</c:v>
                </c:pt>
                <c:pt idx="22">
                  <c:v>15602.5</c:v>
                </c:pt>
                <c:pt idx="23">
                  <c:v>15620</c:v>
                </c:pt>
                <c:pt idx="24">
                  <c:v>15634.5</c:v>
                </c:pt>
                <c:pt idx="25">
                  <c:v>15635</c:v>
                </c:pt>
                <c:pt idx="26">
                  <c:v>16689.5</c:v>
                </c:pt>
                <c:pt idx="27">
                  <c:v>14803</c:v>
                </c:pt>
                <c:pt idx="28">
                  <c:v>16689.5</c:v>
                </c:pt>
                <c:pt idx="29">
                  <c:v>16690</c:v>
                </c:pt>
                <c:pt idx="30">
                  <c:v>16690</c:v>
                </c:pt>
                <c:pt idx="31">
                  <c:v>16690</c:v>
                </c:pt>
                <c:pt idx="32">
                  <c:v>16755.5</c:v>
                </c:pt>
                <c:pt idx="33">
                  <c:v>17496</c:v>
                </c:pt>
                <c:pt idx="34">
                  <c:v>18325.5</c:v>
                </c:pt>
                <c:pt idx="35">
                  <c:v>18423.5</c:v>
                </c:pt>
                <c:pt idx="36">
                  <c:v>20360</c:v>
                </c:pt>
                <c:pt idx="37">
                  <c:v>20360.5</c:v>
                </c:pt>
                <c:pt idx="38">
                  <c:v>22053.5</c:v>
                </c:pt>
                <c:pt idx="39">
                  <c:v>22110.5</c:v>
                </c:pt>
                <c:pt idx="40">
                  <c:v>22113.5</c:v>
                </c:pt>
                <c:pt idx="41">
                  <c:v>22214.5</c:v>
                </c:pt>
                <c:pt idx="42">
                  <c:v>22215</c:v>
                </c:pt>
                <c:pt idx="43">
                  <c:v>22215.5</c:v>
                </c:pt>
                <c:pt idx="44">
                  <c:v>23795</c:v>
                </c:pt>
                <c:pt idx="45">
                  <c:v>24190.5</c:v>
                </c:pt>
                <c:pt idx="46">
                  <c:v>25766.5</c:v>
                </c:pt>
                <c:pt idx="47">
                  <c:v>27768.5</c:v>
                </c:pt>
                <c:pt idx="48">
                  <c:v>29284</c:v>
                </c:pt>
              </c:numCache>
            </c:numRef>
          </c:xVal>
          <c:yVal>
            <c:numRef>
              <c:f>Active!$L$21:$L$670</c:f>
              <c:numCache>
                <c:formatCode>General</c:formatCode>
                <c:ptCount val="6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1CE-4C69-802A-52F404E0D2D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Active!$F$21:$F$670</c:f>
              <c:numCache>
                <c:formatCode>General</c:formatCode>
                <c:ptCount val="650"/>
                <c:pt idx="0">
                  <c:v>0</c:v>
                </c:pt>
                <c:pt idx="1">
                  <c:v>8331.5</c:v>
                </c:pt>
                <c:pt idx="2">
                  <c:v>8343.5</c:v>
                </c:pt>
                <c:pt idx="3">
                  <c:v>8444</c:v>
                </c:pt>
                <c:pt idx="4">
                  <c:v>10229</c:v>
                </c:pt>
                <c:pt idx="5">
                  <c:v>10266.5</c:v>
                </c:pt>
                <c:pt idx="6">
                  <c:v>10336.5</c:v>
                </c:pt>
                <c:pt idx="7">
                  <c:v>11159</c:v>
                </c:pt>
                <c:pt idx="8">
                  <c:v>11161.5</c:v>
                </c:pt>
                <c:pt idx="9">
                  <c:v>11191.5</c:v>
                </c:pt>
                <c:pt idx="10">
                  <c:v>11254</c:v>
                </c:pt>
                <c:pt idx="11">
                  <c:v>11302</c:v>
                </c:pt>
                <c:pt idx="12">
                  <c:v>11302</c:v>
                </c:pt>
                <c:pt idx="13">
                  <c:v>13041.5</c:v>
                </c:pt>
                <c:pt idx="14">
                  <c:v>13042</c:v>
                </c:pt>
                <c:pt idx="15">
                  <c:v>13792</c:v>
                </c:pt>
                <c:pt idx="16">
                  <c:v>13975</c:v>
                </c:pt>
                <c:pt idx="17">
                  <c:v>14667.5</c:v>
                </c:pt>
                <c:pt idx="18">
                  <c:v>15550</c:v>
                </c:pt>
                <c:pt idx="19">
                  <c:v>15557.5</c:v>
                </c:pt>
                <c:pt idx="20">
                  <c:v>15565</c:v>
                </c:pt>
                <c:pt idx="21">
                  <c:v>15567.5</c:v>
                </c:pt>
                <c:pt idx="22">
                  <c:v>15602.5</c:v>
                </c:pt>
                <c:pt idx="23">
                  <c:v>15620</c:v>
                </c:pt>
                <c:pt idx="24">
                  <c:v>15634.5</c:v>
                </c:pt>
                <c:pt idx="25">
                  <c:v>15635</c:v>
                </c:pt>
                <c:pt idx="26">
                  <c:v>16689.5</c:v>
                </c:pt>
                <c:pt idx="27">
                  <c:v>14803</c:v>
                </c:pt>
                <c:pt idx="28">
                  <c:v>16689.5</c:v>
                </c:pt>
                <c:pt idx="29">
                  <c:v>16690</c:v>
                </c:pt>
                <c:pt idx="30">
                  <c:v>16690</c:v>
                </c:pt>
                <c:pt idx="31">
                  <c:v>16690</c:v>
                </c:pt>
                <c:pt idx="32">
                  <c:v>16755.5</c:v>
                </c:pt>
                <c:pt idx="33">
                  <c:v>17496</c:v>
                </c:pt>
                <c:pt idx="34">
                  <c:v>18325.5</c:v>
                </c:pt>
                <c:pt idx="35">
                  <c:v>18423.5</c:v>
                </c:pt>
                <c:pt idx="36">
                  <c:v>20360</c:v>
                </c:pt>
                <c:pt idx="37">
                  <c:v>20360.5</c:v>
                </c:pt>
                <c:pt idx="38">
                  <c:v>22053.5</c:v>
                </c:pt>
                <c:pt idx="39">
                  <c:v>22110.5</c:v>
                </c:pt>
                <c:pt idx="40">
                  <c:v>22113.5</c:v>
                </c:pt>
                <c:pt idx="41">
                  <c:v>22214.5</c:v>
                </c:pt>
                <c:pt idx="42">
                  <c:v>22215</c:v>
                </c:pt>
                <c:pt idx="43">
                  <c:v>22215.5</c:v>
                </c:pt>
                <c:pt idx="44">
                  <c:v>23795</c:v>
                </c:pt>
                <c:pt idx="45">
                  <c:v>24190.5</c:v>
                </c:pt>
                <c:pt idx="46">
                  <c:v>25766.5</c:v>
                </c:pt>
                <c:pt idx="47">
                  <c:v>27768.5</c:v>
                </c:pt>
                <c:pt idx="48">
                  <c:v>29284</c:v>
                </c:pt>
              </c:numCache>
            </c:numRef>
          </c:xVal>
          <c:yVal>
            <c:numRef>
              <c:f>Active!$M$21:$M$670</c:f>
              <c:numCache>
                <c:formatCode>General</c:formatCode>
                <c:ptCount val="6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1CE-4C69-802A-52F404E0D2D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Active!$F$21:$F$670</c:f>
              <c:numCache>
                <c:formatCode>General</c:formatCode>
                <c:ptCount val="650"/>
                <c:pt idx="0">
                  <c:v>0</c:v>
                </c:pt>
                <c:pt idx="1">
                  <c:v>8331.5</c:v>
                </c:pt>
                <c:pt idx="2">
                  <c:v>8343.5</c:v>
                </c:pt>
                <c:pt idx="3">
                  <c:v>8444</c:v>
                </c:pt>
                <c:pt idx="4">
                  <c:v>10229</c:v>
                </c:pt>
                <c:pt idx="5">
                  <c:v>10266.5</c:v>
                </c:pt>
                <c:pt idx="6">
                  <c:v>10336.5</c:v>
                </c:pt>
                <c:pt idx="7">
                  <c:v>11159</c:v>
                </c:pt>
                <c:pt idx="8">
                  <c:v>11161.5</c:v>
                </c:pt>
                <c:pt idx="9">
                  <c:v>11191.5</c:v>
                </c:pt>
                <c:pt idx="10">
                  <c:v>11254</c:v>
                </c:pt>
                <c:pt idx="11">
                  <c:v>11302</c:v>
                </c:pt>
                <c:pt idx="12">
                  <c:v>11302</c:v>
                </c:pt>
                <c:pt idx="13">
                  <c:v>13041.5</c:v>
                </c:pt>
                <c:pt idx="14">
                  <c:v>13042</c:v>
                </c:pt>
                <c:pt idx="15">
                  <c:v>13792</c:v>
                </c:pt>
                <c:pt idx="16">
                  <c:v>13975</c:v>
                </c:pt>
                <c:pt idx="17">
                  <c:v>14667.5</c:v>
                </c:pt>
                <c:pt idx="18">
                  <c:v>15550</c:v>
                </c:pt>
                <c:pt idx="19">
                  <c:v>15557.5</c:v>
                </c:pt>
                <c:pt idx="20">
                  <c:v>15565</c:v>
                </c:pt>
                <c:pt idx="21">
                  <c:v>15567.5</c:v>
                </c:pt>
                <c:pt idx="22">
                  <c:v>15602.5</c:v>
                </c:pt>
                <c:pt idx="23">
                  <c:v>15620</c:v>
                </c:pt>
                <c:pt idx="24">
                  <c:v>15634.5</c:v>
                </c:pt>
                <c:pt idx="25">
                  <c:v>15635</c:v>
                </c:pt>
                <c:pt idx="26">
                  <c:v>16689.5</c:v>
                </c:pt>
                <c:pt idx="27">
                  <c:v>14803</c:v>
                </c:pt>
                <c:pt idx="28">
                  <c:v>16689.5</c:v>
                </c:pt>
                <c:pt idx="29">
                  <c:v>16690</c:v>
                </c:pt>
                <c:pt idx="30">
                  <c:v>16690</c:v>
                </c:pt>
                <c:pt idx="31">
                  <c:v>16690</c:v>
                </c:pt>
                <c:pt idx="32">
                  <c:v>16755.5</c:v>
                </c:pt>
                <c:pt idx="33">
                  <c:v>17496</c:v>
                </c:pt>
                <c:pt idx="34">
                  <c:v>18325.5</c:v>
                </c:pt>
                <c:pt idx="35">
                  <c:v>18423.5</c:v>
                </c:pt>
                <c:pt idx="36">
                  <c:v>20360</c:v>
                </c:pt>
                <c:pt idx="37">
                  <c:v>20360.5</c:v>
                </c:pt>
                <c:pt idx="38">
                  <c:v>22053.5</c:v>
                </c:pt>
                <c:pt idx="39">
                  <c:v>22110.5</c:v>
                </c:pt>
                <c:pt idx="40">
                  <c:v>22113.5</c:v>
                </c:pt>
                <c:pt idx="41">
                  <c:v>22214.5</c:v>
                </c:pt>
                <c:pt idx="42">
                  <c:v>22215</c:v>
                </c:pt>
                <c:pt idx="43">
                  <c:v>22215.5</c:v>
                </c:pt>
                <c:pt idx="44">
                  <c:v>23795</c:v>
                </c:pt>
                <c:pt idx="45">
                  <c:v>24190.5</c:v>
                </c:pt>
                <c:pt idx="46">
                  <c:v>25766.5</c:v>
                </c:pt>
                <c:pt idx="47">
                  <c:v>27768.5</c:v>
                </c:pt>
                <c:pt idx="48">
                  <c:v>29284</c:v>
                </c:pt>
              </c:numCache>
            </c:numRef>
          </c:xVal>
          <c:yVal>
            <c:numRef>
              <c:f>Active!$N$21:$N$670</c:f>
              <c:numCache>
                <c:formatCode>General</c:formatCode>
                <c:ptCount val="6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1CE-4C69-802A-52F404E0D2D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Active!$F$21:$F$670</c:f>
              <c:numCache>
                <c:formatCode>General</c:formatCode>
                <c:ptCount val="650"/>
                <c:pt idx="0">
                  <c:v>0</c:v>
                </c:pt>
                <c:pt idx="1">
                  <c:v>8331.5</c:v>
                </c:pt>
                <c:pt idx="2">
                  <c:v>8343.5</c:v>
                </c:pt>
                <c:pt idx="3">
                  <c:v>8444</c:v>
                </c:pt>
                <c:pt idx="4">
                  <c:v>10229</c:v>
                </c:pt>
                <c:pt idx="5">
                  <c:v>10266.5</c:v>
                </c:pt>
                <c:pt idx="6">
                  <c:v>10336.5</c:v>
                </c:pt>
                <c:pt idx="7">
                  <c:v>11159</c:v>
                </c:pt>
                <c:pt idx="8">
                  <c:v>11161.5</c:v>
                </c:pt>
                <c:pt idx="9">
                  <c:v>11191.5</c:v>
                </c:pt>
                <c:pt idx="10">
                  <c:v>11254</c:v>
                </c:pt>
                <c:pt idx="11">
                  <c:v>11302</c:v>
                </c:pt>
                <c:pt idx="12">
                  <c:v>11302</c:v>
                </c:pt>
                <c:pt idx="13">
                  <c:v>13041.5</c:v>
                </c:pt>
                <c:pt idx="14">
                  <c:v>13042</c:v>
                </c:pt>
                <c:pt idx="15">
                  <c:v>13792</c:v>
                </c:pt>
                <c:pt idx="16">
                  <c:v>13975</c:v>
                </c:pt>
                <c:pt idx="17">
                  <c:v>14667.5</c:v>
                </c:pt>
                <c:pt idx="18">
                  <c:v>15550</c:v>
                </c:pt>
                <c:pt idx="19">
                  <c:v>15557.5</c:v>
                </c:pt>
                <c:pt idx="20">
                  <c:v>15565</c:v>
                </c:pt>
                <c:pt idx="21">
                  <c:v>15567.5</c:v>
                </c:pt>
                <c:pt idx="22">
                  <c:v>15602.5</c:v>
                </c:pt>
                <c:pt idx="23">
                  <c:v>15620</c:v>
                </c:pt>
                <c:pt idx="24">
                  <c:v>15634.5</c:v>
                </c:pt>
                <c:pt idx="25">
                  <c:v>15635</c:v>
                </c:pt>
                <c:pt idx="26">
                  <c:v>16689.5</c:v>
                </c:pt>
                <c:pt idx="27">
                  <c:v>14803</c:v>
                </c:pt>
                <c:pt idx="28">
                  <c:v>16689.5</c:v>
                </c:pt>
                <c:pt idx="29">
                  <c:v>16690</c:v>
                </c:pt>
                <c:pt idx="30">
                  <c:v>16690</c:v>
                </c:pt>
                <c:pt idx="31">
                  <c:v>16690</c:v>
                </c:pt>
                <c:pt idx="32">
                  <c:v>16755.5</c:v>
                </c:pt>
                <c:pt idx="33">
                  <c:v>17496</c:v>
                </c:pt>
                <c:pt idx="34">
                  <c:v>18325.5</c:v>
                </c:pt>
                <c:pt idx="35">
                  <c:v>18423.5</c:v>
                </c:pt>
                <c:pt idx="36">
                  <c:v>20360</c:v>
                </c:pt>
                <c:pt idx="37">
                  <c:v>20360.5</c:v>
                </c:pt>
                <c:pt idx="38">
                  <c:v>22053.5</c:v>
                </c:pt>
                <c:pt idx="39">
                  <c:v>22110.5</c:v>
                </c:pt>
                <c:pt idx="40">
                  <c:v>22113.5</c:v>
                </c:pt>
                <c:pt idx="41">
                  <c:v>22214.5</c:v>
                </c:pt>
                <c:pt idx="42">
                  <c:v>22215</c:v>
                </c:pt>
                <c:pt idx="43">
                  <c:v>22215.5</c:v>
                </c:pt>
                <c:pt idx="44">
                  <c:v>23795</c:v>
                </c:pt>
                <c:pt idx="45">
                  <c:v>24190.5</c:v>
                </c:pt>
                <c:pt idx="46">
                  <c:v>25766.5</c:v>
                </c:pt>
                <c:pt idx="47">
                  <c:v>27768.5</c:v>
                </c:pt>
                <c:pt idx="48">
                  <c:v>29284</c:v>
                </c:pt>
              </c:numCache>
            </c:numRef>
          </c:xVal>
          <c:yVal>
            <c:numRef>
              <c:f>Active!$O$21:$O$670</c:f>
              <c:numCache>
                <c:formatCode>General</c:formatCode>
                <c:ptCount val="650"/>
                <c:pt idx="0">
                  <c:v>1.9680722183910468E-2</c:v>
                </c:pt>
                <c:pt idx="1">
                  <c:v>-5.0323437107451768E-2</c:v>
                </c:pt>
                <c:pt idx="2">
                  <c:v>-5.0424265279029074E-2</c:v>
                </c:pt>
                <c:pt idx="3">
                  <c:v>-5.1268701215989032E-2</c:v>
                </c:pt>
                <c:pt idx="4">
                  <c:v>-6.626689173811369E-2</c:v>
                </c:pt>
                <c:pt idx="5">
                  <c:v>-6.6581979774292782E-2</c:v>
                </c:pt>
                <c:pt idx="6">
                  <c:v>-6.7170144108493757E-2</c:v>
                </c:pt>
                <c:pt idx="7">
                  <c:v>-7.4081075035355118E-2</c:v>
                </c:pt>
                <c:pt idx="8">
                  <c:v>-7.4102080904433723E-2</c:v>
                </c:pt>
                <c:pt idx="9">
                  <c:v>-7.4354151333376986E-2</c:v>
                </c:pt>
                <c:pt idx="10">
                  <c:v>-7.4879298060342145E-2</c:v>
                </c:pt>
                <c:pt idx="11">
                  <c:v>-7.5282610746651379E-2</c:v>
                </c:pt>
                <c:pt idx="12">
                  <c:v>-7.5282610746651379E-2</c:v>
                </c:pt>
                <c:pt idx="13">
                  <c:v>-8.9898494451545408E-2</c:v>
                </c:pt>
                <c:pt idx="14">
                  <c:v>-8.9902695625361129E-2</c:v>
                </c:pt>
                <c:pt idx="15">
                  <c:v>-9.620445634894291E-2</c:v>
                </c:pt>
                <c:pt idx="16">
                  <c:v>-9.7742085965496869E-2</c:v>
                </c:pt>
                <c:pt idx="17">
                  <c:v>-0.10356071170027072</c:v>
                </c:pt>
                <c:pt idx="18">
                  <c:v>-0.11097578348501862</c:v>
                </c:pt>
                <c:pt idx="19">
                  <c:v>-0.11103880109225443</c:v>
                </c:pt>
                <c:pt idx="20">
                  <c:v>-0.11110181869949028</c:v>
                </c:pt>
                <c:pt idx="21">
                  <c:v>-0.11112282456856888</c:v>
                </c:pt>
                <c:pt idx="22">
                  <c:v>-0.11141690673566935</c:v>
                </c:pt>
                <c:pt idx="23">
                  <c:v>-0.11156394781921959</c:v>
                </c:pt>
                <c:pt idx="24">
                  <c:v>-0.1116857818598755</c:v>
                </c:pt>
                <c:pt idx="25">
                  <c:v>-0.11168998303369122</c:v>
                </c:pt>
                <c:pt idx="26">
                  <c:v>-0.12055025861104722</c:v>
                </c:pt>
                <c:pt idx="27">
                  <c:v>-0.10469922980433116</c:v>
                </c:pt>
                <c:pt idx="28">
                  <c:v>-0.12055025861104722</c:v>
                </c:pt>
                <c:pt idx="29">
                  <c:v>-0.12055445978486294</c:v>
                </c:pt>
                <c:pt idx="30">
                  <c:v>-0.12055445978486294</c:v>
                </c:pt>
                <c:pt idx="31">
                  <c:v>-0.12055445978486294</c:v>
                </c:pt>
                <c:pt idx="32">
                  <c:v>-0.12110481355472243</c:v>
                </c:pt>
                <c:pt idx="33">
                  <c:v>-0.12732675197580551</c:v>
                </c:pt>
                <c:pt idx="34">
                  <c:v>-0.13429649933608695</c:v>
                </c:pt>
                <c:pt idx="35">
                  <c:v>-0.13511992940396833</c:v>
                </c:pt>
                <c:pt idx="36">
                  <c:v>-0.15139107559225651</c:v>
                </c:pt>
                <c:pt idx="37">
                  <c:v>-0.15139527676607223</c:v>
                </c:pt>
                <c:pt idx="38">
                  <c:v>-0.1656204513061042</c:v>
                </c:pt>
                <c:pt idx="39">
                  <c:v>-0.1660993851210964</c:v>
                </c:pt>
                <c:pt idx="40">
                  <c:v>-0.16612459216399073</c:v>
                </c:pt>
                <c:pt idx="41">
                  <c:v>-0.16697322927476638</c:v>
                </c:pt>
                <c:pt idx="42">
                  <c:v>-0.16697743044858215</c:v>
                </c:pt>
                <c:pt idx="43">
                  <c:v>-0.16698163162239787</c:v>
                </c:pt>
                <c:pt idx="44">
                  <c:v>-0.18025313970626111</c:v>
                </c:pt>
                <c:pt idx="45">
                  <c:v>-0.18357626819449657</c:v>
                </c:pt>
                <c:pt idx="46">
                  <c:v>-0.19681836806164976</c:v>
                </c:pt>
                <c:pt idx="47">
                  <c:v>-0.2136398680197974</c:v>
                </c:pt>
                <c:pt idx="48">
                  <c:v>-0.22637362585524834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1CE-4C69-802A-52F404E0D2D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Active!$F$21:$F$670</c:f>
              <c:numCache>
                <c:formatCode>General</c:formatCode>
                <c:ptCount val="650"/>
                <c:pt idx="0">
                  <c:v>0</c:v>
                </c:pt>
                <c:pt idx="1">
                  <c:v>8331.5</c:v>
                </c:pt>
                <c:pt idx="2">
                  <c:v>8343.5</c:v>
                </c:pt>
                <c:pt idx="3">
                  <c:v>8444</c:v>
                </c:pt>
                <c:pt idx="4">
                  <c:v>10229</c:v>
                </c:pt>
                <c:pt idx="5">
                  <c:v>10266.5</c:v>
                </c:pt>
                <c:pt idx="6">
                  <c:v>10336.5</c:v>
                </c:pt>
                <c:pt idx="7">
                  <c:v>11159</c:v>
                </c:pt>
                <c:pt idx="8">
                  <c:v>11161.5</c:v>
                </c:pt>
                <c:pt idx="9">
                  <c:v>11191.5</c:v>
                </c:pt>
                <c:pt idx="10">
                  <c:v>11254</c:v>
                </c:pt>
                <c:pt idx="11">
                  <c:v>11302</c:v>
                </c:pt>
                <c:pt idx="12">
                  <c:v>11302</c:v>
                </c:pt>
                <c:pt idx="13">
                  <c:v>13041.5</c:v>
                </c:pt>
                <c:pt idx="14">
                  <c:v>13042</c:v>
                </c:pt>
                <c:pt idx="15">
                  <c:v>13792</c:v>
                </c:pt>
                <c:pt idx="16">
                  <c:v>13975</c:v>
                </c:pt>
                <c:pt idx="17">
                  <c:v>14667.5</c:v>
                </c:pt>
                <c:pt idx="18">
                  <c:v>15550</c:v>
                </c:pt>
                <c:pt idx="19">
                  <c:v>15557.5</c:v>
                </c:pt>
                <c:pt idx="20">
                  <c:v>15565</c:v>
                </c:pt>
                <c:pt idx="21">
                  <c:v>15567.5</c:v>
                </c:pt>
                <c:pt idx="22">
                  <c:v>15602.5</c:v>
                </c:pt>
                <c:pt idx="23">
                  <c:v>15620</c:v>
                </c:pt>
                <c:pt idx="24">
                  <c:v>15634.5</c:v>
                </c:pt>
                <c:pt idx="25">
                  <c:v>15635</c:v>
                </c:pt>
                <c:pt idx="26">
                  <c:v>16689.5</c:v>
                </c:pt>
                <c:pt idx="27">
                  <c:v>14803</c:v>
                </c:pt>
                <c:pt idx="28">
                  <c:v>16689.5</c:v>
                </c:pt>
                <c:pt idx="29">
                  <c:v>16690</c:v>
                </c:pt>
                <c:pt idx="30">
                  <c:v>16690</c:v>
                </c:pt>
                <c:pt idx="31">
                  <c:v>16690</c:v>
                </c:pt>
                <c:pt idx="32">
                  <c:v>16755.5</c:v>
                </c:pt>
                <c:pt idx="33">
                  <c:v>17496</c:v>
                </c:pt>
                <c:pt idx="34">
                  <c:v>18325.5</c:v>
                </c:pt>
                <c:pt idx="35">
                  <c:v>18423.5</c:v>
                </c:pt>
                <c:pt idx="36">
                  <c:v>20360</c:v>
                </c:pt>
                <c:pt idx="37">
                  <c:v>20360.5</c:v>
                </c:pt>
                <c:pt idx="38">
                  <c:v>22053.5</c:v>
                </c:pt>
                <c:pt idx="39">
                  <c:v>22110.5</c:v>
                </c:pt>
                <c:pt idx="40">
                  <c:v>22113.5</c:v>
                </c:pt>
                <c:pt idx="41">
                  <c:v>22214.5</c:v>
                </c:pt>
                <c:pt idx="42">
                  <c:v>22215</c:v>
                </c:pt>
                <c:pt idx="43">
                  <c:v>22215.5</c:v>
                </c:pt>
                <c:pt idx="44">
                  <c:v>23795</c:v>
                </c:pt>
                <c:pt idx="45">
                  <c:v>24190.5</c:v>
                </c:pt>
                <c:pt idx="46">
                  <c:v>25766.5</c:v>
                </c:pt>
                <c:pt idx="47">
                  <c:v>27768.5</c:v>
                </c:pt>
                <c:pt idx="48">
                  <c:v>29284</c:v>
                </c:pt>
              </c:numCache>
            </c:numRef>
          </c:xVal>
          <c:yVal>
            <c:numRef>
              <c:f>Active!$U$21:$U$670</c:f>
              <c:numCache>
                <c:formatCode>General</c:formatCode>
                <c:ptCount val="6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1CE-4C69-802A-52F404E0D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9797304"/>
        <c:axId val="1"/>
      </c:scatterChart>
      <c:valAx>
        <c:axId val="879797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66754155730532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33333333333337E-2"/>
              <c:y val="0.440252892916687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979730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000017497812772"/>
          <c:y val="0.9088076726258274"/>
          <c:w val="0.82500139982502185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381000</xdr:colOff>
      <xdr:row>18</xdr:row>
      <xdr:rowOff>47624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1960DCE-1797-4703-C5D8-3A55FF8CD4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548" TargetMode="External"/><Relationship Id="rId13" Type="http://schemas.openxmlformats.org/officeDocument/2006/relationships/hyperlink" Target="http://www.bav-astro.de/sfs/BAVM_link.php?BAVMnr=178" TargetMode="External"/><Relationship Id="rId18" Type="http://schemas.openxmlformats.org/officeDocument/2006/relationships/hyperlink" Target="http://www.konkoly.hu/cgi-bin/IBVS?5887" TargetMode="External"/><Relationship Id="rId26" Type="http://schemas.openxmlformats.org/officeDocument/2006/relationships/hyperlink" Target="http://www.bav-astro.de/sfs/BAVM_link.php?BAVMnr=214" TargetMode="External"/><Relationship Id="rId3" Type="http://schemas.openxmlformats.org/officeDocument/2006/relationships/hyperlink" Target="http://www.konkoly.hu/cgi-bin/IBVS?5372" TargetMode="External"/><Relationship Id="rId21" Type="http://schemas.openxmlformats.org/officeDocument/2006/relationships/hyperlink" Target="http://www.konkoly.hu/cgi-bin/IBVS?5887" TargetMode="External"/><Relationship Id="rId34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5548" TargetMode="External"/><Relationship Id="rId12" Type="http://schemas.openxmlformats.org/officeDocument/2006/relationships/hyperlink" Target="http://www.konkoly.hu/cgi-bin/IBVS?5602" TargetMode="External"/><Relationship Id="rId17" Type="http://schemas.openxmlformats.org/officeDocument/2006/relationships/hyperlink" Target="http://www.konkoly.hu/cgi-bin/IBVS?5887" TargetMode="External"/><Relationship Id="rId25" Type="http://schemas.openxmlformats.org/officeDocument/2006/relationships/hyperlink" Target="http://www.bav-astro.de/sfs/BAVM_link.php?BAVMnr=214" TargetMode="External"/><Relationship Id="rId33" Type="http://schemas.openxmlformats.org/officeDocument/2006/relationships/hyperlink" Target="http://www.konkoly.hu/cgi-bin/IBVS?5960" TargetMode="External"/><Relationship Id="rId2" Type="http://schemas.openxmlformats.org/officeDocument/2006/relationships/hyperlink" Target="http://www.konkoly.hu/cgi-bin/IBVS?5372" TargetMode="External"/><Relationship Id="rId16" Type="http://schemas.openxmlformats.org/officeDocument/2006/relationships/hyperlink" Target="http://www.konkoly.hu/cgi-bin/IBVS?5979" TargetMode="External"/><Relationship Id="rId20" Type="http://schemas.openxmlformats.org/officeDocument/2006/relationships/hyperlink" Target="http://www.konkoly.hu/cgi-bin/IBVS?5887" TargetMode="External"/><Relationship Id="rId29" Type="http://schemas.openxmlformats.org/officeDocument/2006/relationships/hyperlink" Target="http://www.bav-astro.de/sfs/BAVM_link.php?BAVMnr=214" TargetMode="External"/><Relationship Id="rId1" Type="http://schemas.openxmlformats.org/officeDocument/2006/relationships/hyperlink" Target="http://www.konkoly.hu/cgi-bin/IBVS?5372" TargetMode="External"/><Relationship Id="rId6" Type="http://schemas.openxmlformats.org/officeDocument/2006/relationships/hyperlink" Target="http://www.konkoly.hu/cgi-bin/IBVS?5439" TargetMode="External"/><Relationship Id="rId11" Type="http://schemas.openxmlformats.org/officeDocument/2006/relationships/hyperlink" Target="http://www.konkoly.hu/cgi-bin/IBVS?5603" TargetMode="External"/><Relationship Id="rId24" Type="http://schemas.openxmlformats.org/officeDocument/2006/relationships/hyperlink" Target="http://www.konkoly.hu/cgi-bin/IBVS?5887" TargetMode="External"/><Relationship Id="rId32" Type="http://schemas.openxmlformats.org/officeDocument/2006/relationships/hyperlink" Target="http://www.konkoly.hu/cgi-bin/IBVS?5945" TargetMode="External"/><Relationship Id="rId37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konkoly.hu/cgi-bin/IBVS?5439" TargetMode="External"/><Relationship Id="rId15" Type="http://schemas.openxmlformats.org/officeDocument/2006/relationships/hyperlink" Target="http://www.bav-astro.de/sfs/BAVM_link.php?BAVMnr=183" TargetMode="External"/><Relationship Id="rId23" Type="http://schemas.openxmlformats.org/officeDocument/2006/relationships/hyperlink" Target="http://www.konkoly.hu/cgi-bin/IBVS?5887" TargetMode="External"/><Relationship Id="rId28" Type="http://schemas.openxmlformats.org/officeDocument/2006/relationships/hyperlink" Target="http://www.bav-astro.de/sfs/BAVM_link.php?BAVMnr=214" TargetMode="External"/><Relationship Id="rId36" Type="http://schemas.openxmlformats.org/officeDocument/2006/relationships/hyperlink" Target="http://www.bav-astro.de/sfs/BAVM_link.php?BAVMnr=234" TargetMode="External"/><Relationship Id="rId10" Type="http://schemas.openxmlformats.org/officeDocument/2006/relationships/hyperlink" Target="http://www.konkoly.hu/cgi-bin/IBVS?5548" TargetMode="External"/><Relationship Id="rId19" Type="http://schemas.openxmlformats.org/officeDocument/2006/relationships/hyperlink" Target="http://www.konkoly.hu/cgi-bin/IBVS?5887" TargetMode="External"/><Relationship Id="rId31" Type="http://schemas.openxmlformats.org/officeDocument/2006/relationships/hyperlink" Target="http://www.bav-astro.de/sfs/BAVM_link.php?BAVMnr=214" TargetMode="External"/><Relationship Id="rId4" Type="http://schemas.openxmlformats.org/officeDocument/2006/relationships/hyperlink" Target="http://www.konkoly.hu/cgi-bin/IBVS?5548" TargetMode="External"/><Relationship Id="rId9" Type="http://schemas.openxmlformats.org/officeDocument/2006/relationships/hyperlink" Target="http://www.konkoly.hu/cgi-bin/IBVS?5548" TargetMode="External"/><Relationship Id="rId14" Type="http://schemas.openxmlformats.org/officeDocument/2006/relationships/hyperlink" Target="http://www.bav-astro.de/sfs/BAVM_link.php?BAVMnr=178" TargetMode="External"/><Relationship Id="rId22" Type="http://schemas.openxmlformats.org/officeDocument/2006/relationships/hyperlink" Target="http://www.konkoly.hu/cgi-bin/IBVS?5887" TargetMode="External"/><Relationship Id="rId27" Type="http://schemas.openxmlformats.org/officeDocument/2006/relationships/hyperlink" Target="http://www.bav-astro.de/sfs/BAVM_link.php?BAVMnr=214" TargetMode="External"/><Relationship Id="rId30" Type="http://schemas.openxmlformats.org/officeDocument/2006/relationships/hyperlink" Target="http://www.bav-astro.de/sfs/BAVM_link.php?BAVMnr=214" TargetMode="External"/><Relationship Id="rId35" Type="http://schemas.openxmlformats.org/officeDocument/2006/relationships/hyperlink" Target="http://www.konkoly.hu/cgi-bin/IBVS?6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1"/>
  <sheetViews>
    <sheetView tabSelected="1" workbookViewId="0">
      <pane xSplit="13" ySplit="22" topLeftCell="N56" activePane="bottomRight" state="frozen"/>
      <selection pane="topRight" activeCell="N1" sqref="N1"/>
      <selection pane="bottomLeft" activeCell="A23" sqref="A23"/>
      <selection pane="bottomRight" activeCell="E8" sqref="E7:E8"/>
    </sheetView>
  </sheetViews>
  <sheetFormatPr defaultColWidth="10.28515625" defaultRowHeight="12.75" x14ac:dyDescent="0.2"/>
  <cols>
    <col min="1" max="1" width="17" style="1" customWidth="1"/>
    <col min="2" max="2" width="5.140625" style="2" customWidth="1"/>
    <col min="3" max="3" width="11.85546875" style="1" customWidth="1"/>
    <col min="4" max="4" width="9.42578125" style="1" customWidth="1"/>
    <col min="5" max="5" width="12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3" t="s">
        <v>0</v>
      </c>
    </row>
    <row r="2" spans="1:6" x14ac:dyDescent="0.2">
      <c r="A2" s="1" t="s">
        <v>1</v>
      </c>
      <c r="B2" s="4" t="s">
        <v>2</v>
      </c>
    </row>
    <row r="3" spans="1:6" x14ac:dyDescent="0.2">
      <c r="C3" s="1" t="s">
        <v>3</v>
      </c>
    </row>
    <row r="4" spans="1:6" x14ac:dyDescent="0.2">
      <c r="A4" s="5" t="s">
        <v>4</v>
      </c>
      <c r="C4" s="6">
        <v>48500.357000000004</v>
      </c>
      <c r="D4" s="7">
        <v>0.39995700000000001</v>
      </c>
    </row>
    <row r="5" spans="1:6" x14ac:dyDescent="0.2">
      <c r="A5" s="8" t="s">
        <v>5</v>
      </c>
      <c r="B5"/>
      <c r="C5" s="9">
        <v>-9.5</v>
      </c>
      <c r="D5" t="s">
        <v>6</v>
      </c>
    </row>
    <row r="6" spans="1:6" x14ac:dyDescent="0.2">
      <c r="A6" s="10" t="s">
        <v>7</v>
      </c>
    </row>
    <row r="7" spans="1:6" x14ac:dyDescent="0.2">
      <c r="A7" s="1" t="s">
        <v>8</v>
      </c>
      <c r="C7" s="1">
        <v>48500.357000000004</v>
      </c>
    </row>
    <row r="8" spans="1:6" x14ac:dyDescent="0.2">
      <c r="A8" s="1" t="s">
        <v>9</v>
      </c>
      <c r="C8" s="1">
        <v>0.39995700000000001</v>
      </c>
    </row>
    <row r="9" spans="1:6" x14ac:dyDescent="0.2">
      <c r="A9" s="11" t="s">
        <v>10</v>
      </c>
      <c r="B9" s="12">
        <v>22</v>
      </c>
      <c r="C9" s="13" t="str">
        <f>"F"&amp;B9</f>
        <v>F22</v>
      </c>
      <c r="D9" s="14" t="str">
        <f>"G"&amp;B9</f>
        <v>G22</v>
      </c>
    </row>
    <row r="10" spans="1:6" x14ac:dyDescent="0.2">
      <c r="A10"/>
      <c r="B10"/>
      <c r="C10" s="15" t="s">
        <v>11</v>
      </c>
      <c r="D10" s="15" t="s">
        <v>12</v>
      </c>
      <c r="E10"/>
    </row>
    <row r="11" spans="1:6" x14ac:dyDescent="0.2">
      <c r="A11" t="s">
        <v>13</v>
      </c>
      <c r="B11"/>
      <c r="C11" s="16">
        <f ca="1">INTERCEPT(INDIRECT($D$9):G989,INDIRECT($C$9):F989)</f>
        <v>1.9680722183910468E-2</v>
      </c>
      <c r="D11" s="2"/>
      <c r="E11" s="88"/>
      <c r="F11" s="89"/>
    </row>
    <row r="12" spans="1:6" x14ac:dyDescent="0.2">
      <c r="A12" t="s">
        <v>14</v>
      </c>
      <c r="B12"/>
      <c r="C12" s="16">
        <f ca="1">SLOPE(INDIRECT($D$9):G989,INDIRECT($C$9):F989)</f>
        <v>-8.4023476314423855E-6</v>
      </c>
      <c r="D12" s="2"/>
      <c r="E12" s="87" t="s">
        <v>220</v>
      </c>
      <c r="F12" s="90" t="s">
        <v>223</v>
      </c>
    </row>
    <row r="13" spans="1:6" x14ac:dyDescent="0.2">
      <c r="A13" t="s">
        <v>15</v>
      </c>
      <c r="B13"/>
      <c r="C13" s="2" t="s">
        <v>16</v>
      </c>
      <c r="E13" s="85" t="s">
        <v>18</v>
      </c>
      <c r="F13" s="91">
        <v>1</v>
      </c>
    </row>
    <row r="14" spans="1:6" x14ac:dyDescent="0.2">
      <c r="A14"/>
      <c r="B14"/>
      <c r="C14"/>
      <c r="E14" s="85" t="s">
        <v>20</v>
      </c>
      <c r="F14" s="92">
        <f ca="1">NOW()+15018.5+$C$5/24</f>
        <v>60683.841062615735</v>
      </c>
    </row>
    <row r="15" spans="1:6" x14ac:dyDescent="0.2">
      <c r="A15" s="17" t="s">
        <v>17</v>
      </c>
      <c r="B15"/>
      <c r="C15" s="18">
        <f ca="1">(C7+C11)+(C8+C12)*INT(MAX(F21:F3530))</f>
        <v>60212.471414374151</v>
      </c>
      <c r="E15" s="85" t="s">
        <v>22</v>
      </c>
      <c r="F15" s="92">
        <f ca="1">ROUND(2*($F$14-$C$7)/$C$8,0)/2+$F$13</f>
        <v>30463</v>
      </c>
    </row>
    <row r="16" spans="1:6" x14ac:dyDescent="0.2">
      <c r="A16" s="17" t="s">
        <v>19</v>
      </c>
      <c r="B16"/>
      <c r="C16" s="18">
        <f ca="1">+C8+C12</f>
        <v>0.39994859765236856</v>
      </c>
      <c r="E16" s="85" t="s">
        <v>24</v>
      </c>
      <c r="F16" s="92">
        <f ca="1">ROUND(2*($F$14-$C$15)/$C$16,0)/2+$F$13</f>
        <v>1179.5</v>
      </c>
    </row>
    <row r="17" spans="1:21" x14ac:dyDescent="0.2">
      <c r="A17" s="11" t="s">
        <v>21</v>
      </c>
      <c r="B17"/>
      <c r="C17">
        <f>COUNT(C21:C2188)</f>
        <v>49</v>
      </c>
      <c r="E17" s="85" t="s">
        <v>221</v>
      </c>
      <c r="F17" s="93">
        <f ca="1">+$C$15+$C$16*$F$16-15018.5-$C$5/24</f>
        <v>45666.106618638456</v>
      </c>
    </row>
    <row r="18" spans="1:21" x14ac:dyDescent="0.2">
      <c r="A18" s="17" t="s">
        <v>23</v>
      </c>
      <c r="B18"/>
      <c r="C18" s="19">
        <f ca="1">+C15</f>
        <v>60212.471414374151</v>
      </c>
      <c r="D18" s="84">
        <f ca="1">+C16</f>
        <v>0.39994859765236856</v>
      </c>
      <c r="E18" s="86" t="s">
        <v>222</v>
      </c>
      <c r="F18" s="94">
        <f ca="1">+($C$15+$C$16*$F$16)-($C$16/2)-15018.5-$C$5/24</f>
        <v>45665.90664433963</v>
      </c>
    </row>
    <row r="19" spans="1:21" x14ac:dyDescent="0.2">
      <c r="E19" s="11"/>
      <c r="F19" s="20"/>
    </row>
    <row r="20" spans="1:21" x14ac:dyDescent="0.2">
      <c r="A20" s="15" t="s">
        <v>25</v>
      </c>
      <c r="B20" s="15" t="s">
        <v>26</v>
      </c>
      <c r="C20" s="15" t="s">
        <v>27</v>
      </c>
      <c r="D20" s="15" t="s">
        <v>28</v>
      </c>
      <c r="E20" s="15" t="s">
        <v>29</v>
      </c>
      <c r="F20" s="15" t="s">
        <v>30</v>
      </c>
      <c r="G20" s="15" t="s">
        <v>31</v>
      </c>
      <c r="H20" s="21" t="s">
        <v>32</v>
      </c>
      <c r="I20" s="21" t="s">
        <v>33</v>
      </c>
      <c r="J20" s="21" t="s">
        <v>34</v>
      </c>
      <c r="K20" s="21" t="s">
        <v>35</v>
      </c>
      <c r="L20" s="21" t="s">
        <v>36</v>
      </c>
      <c r="M20" s="21" t="s">
        <v>37</v>
      </c>
      <c r="N20" s="21" t="s">
        <v>38</v>
      </c>
      <c r="O20" s="21" t="s">
        <v>39</v>
      </c>
      <c r="P20" s="21" t="s">
        <v>40</v>
      </c>
      <c r="Q20" s="15" t="s">
        <v>41</v>
      </c>
      <c r="U20" s="22" t="s">
        <v>42</v>
      </c>
    </row>
    <row r="21" spans="1:21" x14ac:dyDescent="0.2">
      <c r="A21" s="1" t="s">
        <v>3</v>
      </c>
      <c r="C21" s="23">
        <v>48500.357000000004</v>
      </c>
      <c r="D21" s="23" t="s">
        <v>16</v>
      </c>
      <c r="E21" s="1">
        <f t="shared" ref="E21:E40" si="0">+(C21-C$7)/C$8</f>
        <v>0</v>
      </c>
      <c r="F21" s="1">
        <f t="shared" ref="F21:F37" si="1">ROUND(2*E21,0)/2</f>
        <v>0</v>
      </c>
      <c r="G21" s="1">
        <f t="shared" ref="G21:G40" si="2">+C21-(C$7+F21*C$8)</f>
        <v>0</v>
      </c>
      <c r="J21" s="1">
        <f t="shared" ref="J21:J31" si="3">G21</f>
        <v>0</v>
      </c>
      <c r="O21" s="1">
        <f t="shared" ref="O21:O40" ca="1" si="4">+C$11+C$12*F21</f>
        <v>1.9680722183910468E-2</v>
      </c>
      <c r="Q21" s="76">
        <f t="shared" ref="Q21:Q40" si="5">+C21-15018.5</f>
        <v>33481.857000000004</v>
      </c>
    </row>
    <row r="22" spans="1:21" x14ac:dyDescent="0.2">
      <c r="A22" s="1" t="s">
        <v>43</v>
      </c>
      <c r="B22" s="24" t="s">
        <v>44</v>
      </c>
      <c r="C22" s="23">
        <v>51832.551800000001</v>
      </c>
      <c r="D22" s="23">
        <v>5.0000000000000001E-4</v>
      </c>
      <c r="E22" s="1">
        <f t="shared" si="0"/>
        <v>8331.3826236320347</v>
      </c>
      <c r="F22" s="1">
        <f t="shared" si="1"/>
        <v>8331.5</v>
      </c>
      <c r="G22" s="1">
        <f t="shared" si="2"/>
        <v>-4.6945500005676877E-2</v>
      </c>
      <c r="H22" s="25"/>
      <c r="J22" s="1">
        <f t="shared" si="3"/>
        <v>-4.6945500005676877E-2</v>
      </c>
      <c r="O22" s="1">
        <f t="shared" ca="1" si="4"/>
        <v>-5.0323437107451768E-2</v>
      </c>
      <c r="Q22" s="76">
        <f t="shared" si="5"/>
        <v>36814.051800000001</v>
      </c>
    </row>
    <row r="23" spans="1:21" ht="12.75" customHeight="1" x14ac:dyDescent="0.2">
      <c r="A23" s="26" t="s">
        <v>43</v>
      </c>
      <c r="B23" s="24" t="s">
        <v>44</v>
      </c>
      <c r="C23" s="23">
        <v>51837.352299999999</v>
      </c>
      <c r="D23" s="23">
        <v>5.0000000000000001E-4</v>
      </c>
      <c r="E23" s="1">
        <f t="shared" si="0"/>
        <v>8343.3851639051081</v>
      </c>
      <c r="F23" s="1">
        <f t="shared" si="1"/>
        <v>8343.5</v>
      </c>
      <c r="G23" s="1">
        <f t="shared" si="2"/>
        <v>-4.5929500003694557E-2</v>
      </c>
      <c r="H23" s="25"/>
      <c r="J23" s="1">
        <f t="shared" si="3"/>
        <v>-4.5929500003694557E-2</v>
      </c>
      <c r="O23" s="1">
        <f t="shared" ca="1" si="4"/>
        <v>-5.0424265279029074E-2</v>
      </c>
      <c r="Q23" s="76">
        <f t="shared" si="5"/>
        <v>36818.852299999999</v>
      </c>
    </row>
    <row r="24" spans="1:21" ht="12.75" customHeight="1" x14ac:dyDescent="0.2">
      <c r="A24" s="26" t="s">
        <v>43</v>
      </c>
      <c r="B24" s="24" t="s">
        <v>45</v>
      </c>
      <c r="C24" s="23">
        <v>51877.5481</v>
      </c>
      <c r="D24" s="23">
        <v>1E-4</v>
      </c>
      <c r="E24" s="1">
        <f t="shared" si="0"/>
        <v>8443.8854676877672</v>
      </c>
      <c r="F24" s="1">
        <f t="shared" si="1"/>
        <v>8444</v>
      </c>
      <c r="G24" s="1">
        <f t="shared" si="2"/>
        <v>-4.5808000002580229E-2</v>
      </c>
      <c r="H24" s="25"/>
      <c r="J24" s="1">
        <f t="shared" si="3"/>
        <v>-4.5808000002580229E-2</v>
      </c>
      <c r="O24" s="1">
        <f t="shared" ca="1" si="4"/>
        <v>-5.1268701215989032E-2</v>
      </c>
      <c r="Q24" s="76">
        <f t="shared" si="5"/>
        <v>36859.0481</v>
      </c>
    </row>
    <row r="25" spans="1:21" x14ac:dyDescent="0.2">
      <c r="A25" s="27" t="s">
        <v>46</v>
      </c>
      <c r="B25" s="28" t="s">
        <v>45</v>
      </c>
      <c r="C25" s="23">
        <v>52591.454100000003</v>
      </c>
      <c r="D25" s="23">
        <v>1E-4</v>
      </c>
      <c r="E25" s="1">
        <f t="shared" si="0"/>
        <v>10228.842350552683</v>
      </c>
      <c r="F25" s="1">
        <f t="shared" si="1"/>
        <v>10229</v>
      </c>
      <c r="G25" s="1">
        <f t="shared" si="2"/>
        <v>-6.3052999998035375E-2</v>
      </c>
      <c r="J25" s="1">
        <f t="shared" si="3"/>
        <v>-6.3052999998035375E-2</v>
      </c>
      <c r="O25" s="1">
        <f t="shared" ca="1" si="4"/>
        <v>-6.626689173811369E-2</v>
      </c>
      <c r="Q25" s="76">
        <f t="shared" si="5"/>
        <v>37572.954100000003</v>
      </c>
    </row>
    <row r="26" spans="1:21" x14ac:dyDescent="0.2">
      <c r="A26" s="26" t="s">
        <v>3</v>
      </c>
      <c r="B26" s="24" t="s">
        <v>45</v>
      </c>
      <c r="C26" s="23">
        <v>52606.454299999998</v>
      </c>
      <c r="D26" s="23">
        <v>4.0000000000000002E-4</v>
      </c>
      <c r="E26" s="1">
        <f t="shared" si="0"/>
        <v>10266.34688228983</v>
      </c>
      <c r="F26" s="1">
        <f t="shared" si="1"/>
        <v>10266.5</v>
      </c>
      <c r="G26" s="1">
        <f t="shared" si="2"/>
        <v>-6.1240500006533694E-2</v>
      </c>
      <c r="H26" s="25"/>
      <c r="J26" s="1">
        <f t="shared" si="3"/>
        <v>-6.1240500006533694E-2</v>
      </c>
      <c r="O26" s="1">
        <f t="shared" ca="1" si="4"/>
        <v>-6.6581979774292782E-2</v>
      </c>
      <c r="Q26" s="76">
        <f t="shared" si="5"/>
        <v>37587.954299999998</v>
      </c>
    </row>
    <row r="27" spans="1:21" x14ac:dyDescent="0.2">
      <c r="A27" s="26" t="s">
        <v>3</v>
      </c>
      <c r="B27" s="24" t="s">
        <v>44</v>
      </c>
      <c r="C27" s="29">
        <v>52634.449200000003</v>
      </c>
      <c r="D27" s="23">
        <v>4.0000000000000002E-4</v>
      </c>
      <c r="E27" s="1">
        <f t="shared" si="0"/>
        <v>10336.341656728096</v>
      </c>
      <c r="F27" s="1">
        <f t="shared" si="1"/>
        <v>10336.5</v>
      </c>
      <c r="G27" s="1">
        <f t="shared" si="2"/>
        <v>-6.3330500001029577E-2</v>
      </c>
      <c r="H27" s="25"/>
      <c r="J27" s="1">
        <f t="shared" si="3"/>
        <v>-6.3330500001029577E-2</v>
      </c>
      <c r="O27" s="1">
        <f t="shared" ca="1" si="4"/>
        <v>-6.7170144108493757E-2</v>
      </c>
      <c r="Q27" s="76">
        <f t="shared" si="5"/>
        <v>37615.949200000003</v>
      </c>
    </row>
    <row r="28" spans="1:21" x14ac:dyDescent="0.2">
      <c r="A28" s="27" t="s">
        <v>46</v>
      </c>
      <c r="B28" s="28" t="s">
        <v>45</v>
      </c>
      <c r="C28" s="23">
        <v>52963.407500000001</v>
      </c>
      <c r="D28" s="23">
        <v>2.9999999999999997E-4</v>
      </c>
      <c r="E28" s="1">
        <f t="shared" si="0"/>
        <v>11158.825823776049</v>
      </c>
      <c r="F28" s="1">
        <f t="shared" si="1"/>
        <v>11159</v>
      </c>
      <c r="G28" s="1">
        <f t="shared" si="2"/>
        <v>-6.9663000002037734E-2</v>
      </c>
      <c r="J28" s="1">
        <f t="shared" si="3"/>
        <v>-6.9663000002037734E-2</v>
      </c>
      <c r="O28" s="1">
        <f t="shared" ca="1" si="4"/>
        <v>-7.4081075035355118E-2</v>
      </c>
      <c r="Q28" s="76">
        <f t="shared" si="5"/>
        <v>37944.907500000001</v>
      </c>
    </row>
    <row r="29" spans="1:21" x14ac:dyDescent="0.2">
      <c r="A29" s="27" t="s">
        <v>46</v>
      </c>
      <c r="B29" s="28" t="s">
        <v>44</v>
      </c>
      <c r="C29" s="23">
        <v>52964.405200000001</v>
      </c>
      <c r="D29" s="23">
        <v>2.9999999999999997E-4</v>
      </c>
      <c r="E29" s="1">
        <f t="shared" si="0"/>
        <v>11161.320341936751</v>
      </c>
      <c r="F29" s="1">
        <f t="shared" si="1"/>
        <v>11161.5</v>
      </c>
      <c r="G29" s="1">
        <f t="shared" si="2"/>
        <v>-7.1855500005767681E-2</v>
      </c>
      <c r="J29" s="1">
        <f t="shared" si="3"/>
        <v>-7.1855500005767681E-2</v>
      </c>
      <c r="O29" s="1">
        <f t="shared" ca="1" si="4"/>
        <v>-7.4102080904433723E-2</v>
      </c>
      <c r="Q29" s="76">
        <f t="shared" si="5"/>
        <v>37945.905200000001</v>
      </c>
    </row>
    <row r="30" spans="1:21" x14ac:dyDescent="0.2">
      <c r="A30" s="27" t="s">
        <v>46</v>
      </c>
      <c r="B30" s="28" t="s">
        <v>44</v>
      </c>
      <c r="C30" s="23">
        <v>52976.403400000003</v>
      </c>
      <c r="D30" s="23">
        <v>5.0000000000000001E-4</v>
      </c>
      <c r="E30" s="1">
        <f t="shared" si="0"/>
        <v>11191.319066799679</v>
      </c>
      <c r="F30" s="1">
        <f t="shared" si="1"/>
        <v>11191.5</v>
      </c>
      <c r="G30" s="1">
        <f t="shared" si="2"/>
        <v>-7.2365500003797933E-2</v>
      </c>
      <c r="J30" s="1">
        <f t="shared" si="3"/>
        <v>-7.2365500003797933E-2</v>
      </c>
      <c r="O30" s="1">
        <f t="shared" ca="1" si="4"/>
        <v>-7.4354151333376986E-2</v>
      </c>
      <c r="Q30" s="76">
        <f t="shared" si="5"/>
        <v>37957.903400000003</v>
      </c>
    </row>
    <row r="31" spans="1:21" x14ac:dyDescent="0.2">
      <c r="A31" s="27" t="s">
        <v>46</v>
      </c>
      <c r="B31" s="28" t="s">
        <v>45</v>
      </c>
      <c r="C31" s="23">
        <v>53001.400099999999</v>
      </c>
      <c r="D31" s="23">
        <v>2.9999999999999997E-4</v>
      </c>
      <c r="E31" s="1">
        <f t="shared" si="0"/>
        <v>11253.817535385042</v>
      </c>
      <c r="F31" s="1">
        <f t="shared" si="1"/>
        <v>11254</v>
      </c>
      <c r="G31" s="1">
        <f t="shared" si="2"/>
        <v>-7.2978000003786292E-2</v>
      </c>
      <c r="J31" s="1">
        <f t="shared" si="3"/>
        <v>-7.2978000003786292E-2</v>
      </c>
      <c r="O31" s="1">
        <f t="shared" ca="1" si="4"/>
        <v>-7.4879298060342145E-2</v>
      </c>
      <c r="Q31" s="76">
        <f t="shared" si="5"/>
        <v>37982.900099999999</v>
      </c>
    </row>
    <row r="32" spans="1:21" x14ac:dyDescent="0.2">
      <c r="A32" s="27" t="s">
        <v>47</v>
      </c>
      <c r="B32" s="28" t="s">
        <v>45</v>
      </c>
      <c r="C32" s="23">
        <v>53020.597699999998</v>
      </c>
      <c r="D32" s="23">
        <v>2.9999999999999997E-4</v>
      </c>
      <c r="E32" s="1">
        <f t="shared" si="0"/>
        <v>11301.81669529473</v>
      </c>
      <c r="F32" s="1">
        <f t="shared" si="1"/>
        <v>11302</v>
      </c>
      <c r="G32" s="1">
        <f t="shared" si="2"/>
        <v>-7.3314000008394942E-2</v>
      </c>
      <c r="K32" s="1">
        <f>G32</f>
        <v>-7.3314000008394942E-2</v>
      </c>
      <c r="O32" s="1">
        <f t="shared" ca="1" si="4"/>
        <v>-7.5282610746651379E-2</v>
      </c>
      <c r="Q32" s="76">
        <f t="shared" si="5"/>
        <v>38002.097699999998</v>
      </c>
    </row>
    <row r="33" spans="1:17" x14ac:dyDescent="0.2">
      <c r="A33" s="30" t="s">
        <v>48</v>
      </c>
      <c r="C33" s="31">
        <v>53020.5985</v>
      </c>
      <c r="D33" s="23">
        <v>2.0000000000000001E-4</v>
      </c>
      <c r="E33" s="1">
        <f t="shared" si="0"/>
        <v>11301.818695509759</v>
      </c>
      <c r="F33" s="1">
        <f t="shared" si="1"/>
        <v>11302</v>
      </c>
      <c r="G33" s="1">
        <f t="shared" si="2"/>
        <v>-7.2514000006776769E-2</v>
      </c>
      <c r="K33" s="1">
        <f>G33</f>
        <v>-7.2514000006776769E-2</v>
      </c>
      <c r="O33" s="1">
        <f t="shared" ca="1" si="4"/>
        <v>-7.5282610746651379E-2</v>
      </c>
      <c r="Q33" s="76">
        <f t="shared" si="5"/>
        <v>38002.0985</v>
      </c>
    </row>
    <row r="34" spans="1:17" x14ac:dyDescent="0.2">
      <c r="A34" t="s">
        <v>49</v>
      </c>
      <c r="B34" s="25"/>
      <c r="C34" s="23">
        <v>53716.305200000003</v>
      </c>
      <c r="D34" s="23">
        <v>8.9999999999999998E-4</v>
      </c>
      <c r="E34" s="1">
        <f t="shared" si="0"/>
        <v>13041.272436786952</v>
      </c>
      <c r="F34" s="1">
        <f t="shared" si="1"/>
        <v>13041.5</v>
      </c>
      <c r="G34" s="1">
        <f t="shared" si="2"/>
        <v>-9.1015500001958571E-2</v>
      </c>
      <c r="J34" s="1">
        <f>G34</f>
        <v>-9.1015500001958571E-2</v>
      </c>
      <c r="O34" s="1">
        <f t="shared" ca="1" si="4"/>
        <v>-8.9898494451545408E-2</v>
      </c>
      <c r="Q34" s="76">
        <f t="shared" si="5"/>
        <v>38697.805200000003</v>
      </c>
    </row>
    <row r="35" spans="1:17" x14ac:dyDescent="0.2">
      <c r="A35" s="32" t="s">
        <v>49</v>
      </c>
      <c r="B35" s="33"/>
      <c r="C35" s="34">
        <v>53716.506699999998</v>
      </c>
      <c r="D35" s="34">
        <v>8.0000000000000004E-4</v>
      </c>
      <c r="E35" s="1">
        <f t="shared" si="0"/>
        <v>13041.776240945888</v>
      </c>
      <c r="F35" s="1">
        <f t="shared" si="1"/>
        <v>13042</v>
      </c>
      <c r="G35" s="1">
        <f t="shared" si="2"/>
        <v>-8.9494000007107388E-2</v>
      </c>
      <c r="J35" s="1">
        <f>G35</f>
        <v>-8.9494000007107388E-2</v>
      </c>
      <c r="O35" s="1">
        <f t="shared" ca="1" si="4"/>
        <v>-8.9902695625361129E-2</v>
      </c>
      <c r="Q35" s="76">
        <f t="shared" si="5"/>
        <v>38698.006699999998</v>
      </c>
    </row>
    <row r="36" spans="1:17" x14ac:dyDescent="0.2">
      <c r="A36" s="34" t="s">
        <v>50</v>
      </c>
      <c r="B36" s="35" t="s">
        <v>45</v>
      </c>
      <c r="C36" s="34">
        <v>54016.468399999998</v>
      </c>
      <c r="D36" s="34">
        <v>2.3E-3</v>
      </c>
      <c r="E36" s="1">
        <f t="shared" si="0"/>
        <v>13791.761114319776</v>
      </c>
      <c r="F36" s="1">
        <f t="shared" si="1"/>
        <v>13792</v>
      </c>
      <c r="G36" s="1">
        <f t="shared" si="2"/>
        <v>-9.5544000003428664E-2</v>
      </c>
      <c r="J36" s="1">
        <f>G36</f>
        <v>-9.5544000003428664E-2</v>
      </c>
      <c r="O36" s="1">
        <f t="shared" ca="1" si="4"/>
        <v>-9.620445634894291E-2</v>
      </c>
      <c r="Q36" s="76">
        <f t="shared" si="5"/>
        <v>38997.968399999998</v>
      </c>
    </row>
    <row r="37" spans="1:17" x14ac:dyDescent="0.2">
      <c r="A37" s="32" t="s">
        <v>51</v>
      </c>
      <c r="B37" s="36" t="s">
        <v>44</v>
      </c>
      <c r="C37" s="34">
        <v>54089.657599999999</v>
      </c>
      <c r="D37" s="34">
        <v>2.9999999999999997E-4</v>
      </c>
      <c r="E37" s="26">
        <f t="shared" si="0"/>
        <v>13974.753786031986</v>
      </c>
      <c r="F37" s="26">
        <f t="shared" si="1"/>
        <v>13975</v>
      </c>
      <c r="G37" s="1">
        <f t="shared" si="2"/>
        <v>-9.8475000006146729E-2</v>
      </c>
      <c r="K37" s="1">
        <f>G37</f>
        <v>-9.8475000006146729E-2</v>
      </c>
      <c r="O37" s="1">
        <f t="shared" ca="1" si="4"/>
        <v>-9.7742085965496869E-2</v>
      </c>
      <c r="Q37" s="76">
        <f t="shared" si="5"/>
        <v>39071.157599999999</v>
      </c>
    </row>
    <row r="38" spans="1:17" x14ac:dyDescent="0.2">
      <c r="A38" s="33" t="s">
        <v>52</v>
      </c>
      <c r="B38" s="35" t="s">
        <v>44</v>
      </c>
      <c r="C38" s="37">
        <v>54366.620900000002</v>
      </c>
      <c r="D38" s="34">
        <v>1E-4</v>
      </c>
      <c r="E38" s="1">
        <f t="shared" si="0"/>
        <v>14667.236477921371</v>
      </c>
      <c r="F38" s="38">
        <f t="shared" ref="F38:F67" si="6">ROUND(2*E38,0)/2+0.5</f>
        <v>14667.5</v>
      </c>
      <c r="G38" s="1">
        <f t="shared" si="2"/>
        <v>-0.10539750000316417</v>
      </c>
      <c r="K38" s="1">
        <f>G38</f>
        <v>-0.10539750000316417</v>
      </c>
      <c r="O38" s="1">
        <f t="shared" ca="1" si="4"/>
        <v>-0.10356071170027072</v>
      </c>
      <c r="Q38" s="76">
        <f t="shared" si="5"/>
        <v>39348.120900000002</v>
      </c>
    </row>
    <row r="39" spans="1:17" x14ac:dyDescent="0.2">
      <c r="A39" s="34" t="s">
        <v>53</v>
      </c>
      <c r="B39" s="36" t="s">
        <v>45</v>
      </c>
      <c r="C39" s="34">
        <v>54719.573400000001</v>
      </c>
      <c r="D39" s="34">
        <v>1E-4</v>
      </c>
      <c r="E39" s="1">
        <f t="shared" si="0"/>
        <v>15549.712594103859</v>
      </c>
      <c r="F39" s="38">
        <f t="shared" si="6"/>
        <v>15550</v>
      </c>
      <c r="G39" s="1">
        <f t="shared" si="2"/>
        <v>-0.11495000000286382</v>
      </c>
      <c r="J39" s="1">
        <f t="shared" ref="J39:J47" si="7">G39</f>
        <v>-0.11495000000286382</v>
      </c>
      <c r="O39" s="1">
        <f t="shared" ca="1" si="4"/>
        <v>-0.11097578348501862</v>
      </c>
      <c r="Q39" s="76">
        <f t="shared" si="5"/>
        <v>39701.073400000001</v>
      </c>
    </row>
    <row r="40" spans="1:17" x14ac:dyDescent="0.2">
      <c r="A40" s="34" t="s">
        <v>53</v>
      </c>
      <c r="B40" s="36" t="s">
        <v>44</v>
      </c>
      <c r="C40" s="34">
        <v>54722.575400000002</v>
      </c>
      <c r="D40" s="34">
        <v>2.0000000000000001E-4</v>
      </c>
      <c r="E40" s="1">
        <f t="shared" si="0"/>
        <v>15557.218400978099</v>
      </c>
      <c r="F40" s="38">
        <f t="shared" si="6"/>
        <v>15557.5</v>
      </c>
      <c r="G40" s="1">
        <f t="shared" si="2"/>
        <v>-0.11262749999877997</v>
      </c>
      <c r="J40" s="1">
        <f t="shared" si="7"/>
        <v>-0.11262749999877997</v>
      </c>
      <c r="O40" s="1">
        <f t="shared" ca="1" si="4"/>
        <v>-0.11103880109225443</v>
      </c>
      <c r="Q40" s="76">
        <f t="shared" si="5"/>
        <v>39704.075400000002</v>
      </c>
    </row>
    <row r="41" spans="1:17" x14ac:dyDescent="0.2">
      <c r="A41" s="34" t="s">
        <v>53</v>
      </c>
      <c r="B41" s="36" t="s">
        <v>45</v>
      </c>
      <c r="C41" s="34">
        <v>54725.573499999999</v>
      </c>
      <c r="D41" s="34">
        <v>1E-4</v>
      </c>
      <c r="E41" s="1">
        <f t="shared" ref="E41:E65" si="8">+(C41-C$7)/C$8</f>
        <v>15564.714456804093</v>
      </c>
      <c r="F41" s="38">
        <f t="shared" si="6"/>
        <v>15565</v>
      </c>
      <c r="G41" s="1">
        <f t="shared" ref="G41:G65" si="9">+C41-(C$7+F41*C$8)</f>
        <v>-0.1142050000053132</v>
      </c>
      <c r="J41" s="1">
        <f t="shared" si="7"/>
        <v>-0.1142050000053132</v>
      </c>
      <c r="O41" s="1">
        <f t="shared" ref="O41:O65" ca="1" si="10">+C$11+C$12*F41</f>
        <v>-0.11110181869949028</v>
      </c>
      <c r="Q41" s="76">
        <f t="shared" ref="Q41:Q65" si="11">+C41-15018.5</f>
        <v>39707.073499999999</v>
      </c>
    </row>
    <row r="42" spans="1:17" x14ac:dyDescent="0.2">
      <c r="A42" s="34" t="s">
        <v>53</v>
      </c>
      <c r="B42" s="36" t="s">
        <v>44</v>
      </c>
      <c r="C42" s="34">
        <v>54726.575199999999</v>
      </c>
      <c r="D42" s="34">
        <v>2.0000000000000001E-4</v>
      </c>
      <c r="E42" s="1">
        <f t="shared" si="8"/>
        <v>15567.218976039912</v>
      </c>
      <c r="F42" s="38">
        <f t="shared" si="6"/>
        <v>15567.5</v>
      </c>
      <c r="G42" s="1">
        <f t="shared" si="9"/>
        <v>-0.11239750000095228</v>
      </c>
      <c r="J42" s="1">
        <f t="shared" si="7"/>
        <v>-0.11239750000095228</v>
      </c>
      <c r="O42" s="1">
        <f t="shared" ca="1" si="10"/>
        <v>-0.11112282456856888</v>
      </c>
      <c r="Q42" s="76">
        <f t="shared" si="11"/>
        <v>39708.075199999999</v>
      </c>
    </row>
    <row r="43" spans="1:17" x14ac:dyDescent="0.2">
      <c r="A43" s="34" t="s">
        <v>53</v>
      </c>
      <c r="B43" s="36" t="s">
        <v>44</v>
      </c>
      <c r="C43" s="34">
        <v>54740.5726</v>
      </c>
      <c r="D43" s="34">
        <v>1E-4</v>
      </c>
      <c r="E43" s="1">
        <f t="shared" si="8"/>
        <v>15602.216238245601</v>
      </c>
      <c r="F43" s="38">
        <f t="shared" si="6"/>
        <v>15602.5</v>
      </c>
      <c r="G43" s="1">
        <f t="shared" si="9"/>
        <v>-0.11349250000785105</v>
      </c>
      <c r="J43" s="1">
        <f t="shared" si="7"/>
        <v>-0.11349250000785105</v>
      </c>
      <c r="O43" s="1">
        <f t="shared" ca="1" si="10"/>
        <v>-0.11141690673566935</v>
      </c>
      <c r="Q43" s="76">
        <f t="shared" si="11"/>
        <v>39722.0726</v>
      </c>
    </row>
    <row r="44" spans="1:17" x14ac:dyDescent="0.2">
      <c r="A44" s="34" t="s">
        <v>53</v>
      </c>
      <c r="B44" s="36" t="s">
        <v>45</v>
      </c>
      <c r="C44" s="34">
        <v>54747.570699999997</v>
      </c>
      <c r="D44" s="34">
        <v>1E-4</v>
      </c>
      <c r="E44" s="1">
        <f t="shared" si="8"/>
        <v>15619.71336918717</v>
      </c>
      <c r="F44" s="38">
        <f t="shared" si="6"/>
        <v>15620</v>
      </c>
      <c r="G44" s="1">
        <f t="shared" si="9"/>
        <v>-0.1146400000070571</v>
      </c>
      <c r="J44" s="1">
        <f t="shared" si="7"/>
        <v>-0.1146400000070571</v>
      </c>
      <c r="O44" s="1">
        <f t="shared" ca="1" si="10"/>
        <v>-0.11156394781921959</v>
      </c>
      <c r="Q44" s="76">
        <f t="shared" si="11"/>
        <v>39729.070699999997</v>
      </c>
    </row>
    <row r="45" spans="1:17" x14ac:dyDescent="0.2">
      <c r="A45" s="34" t="s">
        <v>53</v>
      </c>
      <c r="B45" s="36" t="s">
        <v>44</v>
      </c>
      <c r="C45" s="34">
        <v>54753.369899999998</v>
      </c>
      <c r="D45" s="34">
        <v>2.0000000000000001E-4</v>
      </c>
      <c r="E45" s="1">
        <f t="shared" si="8"/>
        <v>15634.212927889734</v>
      </c>
      <c r="F45" s="38">
        <f t="shared" si="6"/>
        <v>15634.5</v>
      </c>
      <c r="G45" s="1">
        <f t="shared" si="9"/>
        <v>-0.11481650000496302</v>
      </c>
      <c r="J45" s="1">
        <f t="shared" si="7"/>
        <v>-0.11481650000496302</v>
      </c>
      <c r="O45" s="1">
        <f t="shared" ca="1" si="10"/>
        <v>-0.1116857818598755</v>
      </c>
      <c r="Q45" s="76">
        <f t="shared" si="11"/>
        <v>39734.869899999998</v>
      </c>
    </row>
    <row r="46" spans="1:17" x14ac:dyDescent="0.2">
      <c r="A46" s="34" t="s">
        <v>53</v>
      </c>
      <c r="B46" s="36" t="s">
        <v>45</v>
      </c>
      <c r="C46" s="34">
        <v>54753.570599999999</v>
      </c>
      <c r="D46" s="34">
        <v>1E-4</v>
      </c>
      <c r="E46" s="1">
        <f t="shared" si="8"/>
        <v>15634.714731833661</v>
      </c>
      <c r="F46" s="38">
        <f t="shared" si="6"/>
        <v>15635</v>
      </c>
      <c r="G46" s="1">
        <f t="shared" si="9"/>
        <v>-0.11409500000445405</v>
      </c>
      <c r="J46" s="1">
        <f t="shared" si="7"/>
        <v>-0.11409500000445405</v>
      </c>
      <c r="O46" s="1">
        <f t="shared" ca="1" si="10"/>
        <v>-0.11168998303369122</v>
      </c>
      <c r="Q46" s="76">
        <f t="shared" si="11"/>
        <v>39735.070599999999</v>
      </c>
    </row>
    <row r="47" spans="1:17" x14ac:dyDescent="0.2">
      <c r="A47" s="27" t="s">
        <v>54</v>
      </c>
      <c r="B47" s="39" t="s">
        <v>45</v>
      </c>
      <c r="C47" s="27">
        <v>55175.316200000001</v>
      </c>
      <c r="D47" s="27">
        <v>2.9999999999999997E-4</v>
      </c>
      <c r="E47" s="1">
        <f t="shared" si="8"/>
        <v>16689.19208814947</v>
      </c>
      <c r="F47" s="38">
        <f t="shared" si="6"/>
        <v>16689.5</v>
      </c>
      <c r="G47" s="1">
        <f t="shared" si="9"/>
        <v>-0.12315150000358699</v>
      </c>
      <c r="J47" s="1">
        <f t="shared" si="7"/>
        <v>-0.12315150000358699</v>
      </c>
      <c r="O47" s="1">
        <f t="shared" ca="1" si="10"/>
        <v>-0.12055025861104722</v>
      </c>
      <c r="Q47" s="76">
        <f t="shared" si="11"/>
        <v>40156.816200000001</v>
      </c>
    </row>
    <row r="48" spans="1:17" x14ac:dyDescent="0.2">
      <c r="A48" s="40" t="s">
        <v>55</v>
      </c>
      <c r="B48" s="41" t="s">
        <v>44</v>
      </c>
      <c r="C48" s="40">
        <v>54420.814899999998</v>
      </c>
      <c r="D48" s="40">
        <v>2.9999999999999997E-4</v>
      </c>
      <c r="E48" s="26">
        <f t="shared" si="8"/>
        <v>14802.736044124727</v>
      </c>
      <c r="F48" s="38">
        <f t="shared" si="6"/>
        <v>14803</v>
      </c>
      <c r="G48" s="1">
        <f t="shared" si="9"/>
        <v>-0.10557100000733044</v>
      </c>
      <c r="K48" s="1">
        <f>G48</f>
        <v>-0.10557100000733044</v>
      </c>
      <c r="O48" s="1">
        <f t="shared" ca="1" si="10"/>
        <v>-0.10469922980433116</v>
      </c>
      <c r="Q48" s="76">
        <f t="shared" si="11"/>
        <v>39402.314899999998</v>
      </c>
    </row>
    <row r="49" spans="1:17" x14ac:dyDescent="0.2">
      <c r="A49" s="27" t="s">
        <v>54</v>
      </c>
      <c r="B49" s="39" t="s">
        <v>45</v>
      </c>
      <c r="C49" s="27">
        <v>55175.318099999997</v>
      </c>
      <c r="D49" s="27">
        <v>2.0000000000000001E-4</v>
      </c>
      <c r="E49" s="1">
        <f t="shared" si="8"/>
        <v>16689.19683866014</v>
      </c>
      <c r="F49" s="38">
        <f t="shared" si="6"/>
        <v>16689.5</v>
      </c>
      <c r="G49" s="1">
        <f t="shared" si="9"/>
        <v>-0.12125150000792928</v>
      </c>
      <c r="J49" s="1">
        <f>G49</f>
        <v>-0.12125150000792928</v>
      </c>
      <c r="O49" s="1">
        <f t="shared" ca="1" si="10"/>
        <v>-0.12055025861104722</v>
      </c>
      <c r="Q49" s="76">
        <f t="shared" si="11"/>
        <v>40156.818099999997</v>
      </c>
    </row>
    <row r="50" spans="1:17" x14ac:dyDescent="0.2">
      <c r="A50" s="27" t="s">
        <v>54</v>
      </c>
      <c r="B50" s="39" t="s">
        <v>45</v>
      </c>
      <c r="C50" s="27">
        <v>55175.512000000002</v>
      </c>
      <c r="D50" s="27">
        <v>3.5000000000000001E-3</v>
      </c>
      <c r="E50" s="1">
        <f t="shared" si="8"/>
        <v>16689.68164077638</v>
      </c>
      <c r="F50" s="38">
        <f t="shared" si="6"/>
        <v>16690</v>
      </c>
      <c r="G50" s="1">
        <f t="shared" si="9"/>
        <v>-0.12733000000298489</v>
      </c>
      <c r="J50" s="1">
        <f>G50</f>
        <v>-0.12733000000298489</v>
      </c>
      <c r="O50" s="1">
        <f t="shared" ca="1" si="10"/>
        <v>-0.12055445978486294</v>
      </c>
      <c r="Q50" s="76">
        <f t="shared" si="11"/>
        <v>40157.012000000002</v>
      </c>
    </row>
    <row r="51" spans="1:17" x14ac:dyDescent="0.2">
      <c r="A51" s="27" t="s">
        <v>54</v>
      </c>
      <c r="B51" s="39" t="s">
        <v>45</v>
      </c>
      <c r="C51" s="27">
        <v>55175.515399999997</v>
      </c>
      <c r="D51" s="27">
        <v>1.5E-3</v>
      </c>
      <c r="E51" s="1">
        <f t="shared" si="8"/>
        <v>16689.690141690215</v>
      </c>
      <c r="F51" s="38">
        <f t="shared" si="6"/>
        <v>16690</v>
      </c>
      <c r="G51" s="1">
        <f t="shared" si="9"/>
        <v>-0.12393000000884058</v>
      </c>
      <c r="J51" s="1">
        <f>G51</f>
        <v>-0.12393000000884058</v>
      </c>
      <c r="O51" s="1">
        <f t="shared" ca="1" si="10"/>
        <v>-0.12055445978486294</v>
      </c>
      <c r="Q51" s="76">
        <f t="shared" si="11"/>
        <v>40157.015399999997</v>
      </c>
    </row>
    <row r="52" spans="1:17" x14ac:dyDescent="0.2">
      <c r="A52" s="27" t="s">
        <v>54</v>
      </c>
      <c r="B52" s="39" t="s">
        <v>45</v>
      </c>
      <c r="C52" s="27">
        <v>55175.516900000002</v>
      </c>
      <c r="D52" s="27">
        <v>2.3999999999999998E-3</v>
      </c>
      <c r="E52" s="26">
        <f t="shared" si="8"/>
        <v>16689.693892093397</v>
      </c>
      <c r="F52" s="38">
        <f t="shared" si="6"/>
        <v>16690</v>
      </c>
      <c r="G52" s="1">
        <f t="shared" si="9"/>
        <v>-0.12243000000307802</v>
      </c>
      <c r="J52" s="1">
        <f>G52</f>
        <v>-0.12243000000307802</v>
      </c>
      <c r="O52" s="1">
        <f t="shared" ca="1" si="10"/>
        <v>-0.12055445978486294</v>
      </c>
      <c r="Q52" s="76">
        <f t="shared" si="11"/>
        <v>40157.016900000002</v>
      </c>
    </row>
    <row r="53" spans="1:17" x14ac:dyDescent="0.2">
      <c r="A53" s="27" t="s">
        <v>56</v>
      </c>
      <c r="B53" s="39" t="s">
        <v>44</v>
      </c>
      <c r="C53" s="27">
        <v>55201.713499999998</v>
      </c>
      <c r="D53" s="27">
        <v>4.0000000000000002E-4</v>
      </c>
      <c r="E53" s="26">
        <f t="shared" si="8"/>
        <v>16755.192433186552</v>
      </c>
      <c r="F53" s="38">
        <f t="shared" si="6"/>
        <v>16755.5</v>
      </c>
      <c r="G53" s="1">
        <f t="shared" si="9"/>
        <v>-0.12301350000780076</v>
      </c>
      <c r="K53" s="1">
        <f>G53</f>
        <v>-0.12301350000780076</v>
      </c>
      <c r="O53" s="1">
        <f t="shared" ca="1" si="10"/>
        <v>-0.12110481355472243</v>
      </c>
      <c r="Q53" s="76">
        <f t="shared" si="11"/>
        <v>40183.213499999998</v>
      </c>
    </row>
    <row r="54" spans="1:17" x14ac:dyDescent="0.2">
      <c r="A54" s="32" t="s">
        <v>57</v>
      </c>
      <c r="B54" s="36" t="s">
        <v>45</v>
      </c>
      <c r="C54" s="34">
        <v>55497.873800000001</v>
      </c>
      <c r="D54" s="34">
        <v>2.9999999999999997E-4</v>
      </c>
      <c r="E54" s="26">
        <f t="shared" si="8"/>
        <v>17495.672784824361</v>
      </c>
      <c r="F54" s="38">
        <f t="shared" si="6"/>
        <v>17496</v>
      </c>
      <c r="G54" s="1">
        <f t="shared" si="9"/>
        <v>-0.13087200000154553</v>
      </c>
      <c r="K54" s="1">
        <f>G54</f>
        <v>-0.13087200000154553</v>
      </c>
      <c r="O54" s="1">
        <f t="shared" ca="1" si="10"/>
        <v>-0.12732675197580551</v>
      </c>
      <c r="Q54" s="76">
        <f t="shared" si="11"/>
        <v>40479.373800000001</v>
      </c>
    </row>
    <row r="55" spans="1:17" x14ac:dyDescent="0.2">
      <c r="A55" s="32" t="s">
        <v>58</v>
      </c>
      <c r="B55" s="36" t="s">
        <v>44</v>
      </c>
      <c r="C55" s="34">
        <v>55829.631139999998</v>
      </c>
      <c r="D55" s="34">
        <v>1E-4</v>
      </c>
      <c r="E55" s="26">
        <f t="shared" si="8"/>
        <v>18325.155304195185</v>
      </c>
      <c r="F55" s="38">
        <f t="shared" si="6"/>
        <v>18325.5</v>
      </c>
      <c r="G55" s="1">
        <f t="shared" si="9"/>
        <v>-0.13786350000737002</v>
      </c>
      <c r="K55" s="1">
        <f>G55</f>
        <v>-0.13786350000737002</v>
      </c>
      <c r="O55" s="1">
        <f t="shared" ca="1" si="10"/>
        <v>-0.13429649933608695</v>
      </c>
      <c r="Q55" s="76">
        <f t="shared" si="11"/>
        <v>40811.131139999998</v>
      </c>
    </row>
    <row r="56" spans="1:17" x14ac:dyDescent="0.2">
      <c r="A56" s="27" t="s">
        <v>59</v>
      </c>
      <c r="B56" s="39" t="s">
        <v>44</v>
      </c>
      <c r="C56" s="27">
        <v>55868.826800000003</v>
      </c>
      <c r="D56" s="27">
        <v>4.0000000000000002E-4</v>
      </c>
      <c r="E56" s="26">
        <f t="shared" si="8"/>
        <v>18423.154989161332</v>
      </c>
      <c r="F56" s="38">
        <f t="shared" si="6"/>
        <v>18423.5</v>
      </c>
      <c r="G56" s="1">
        <f t="shared" si="9"/>
        <v>-0.13798949999909382</v>
      </c>
      <c r="K56" s="1">
        <f>G56</f>
        <v>-0.13798949999909382</v>
      </c>
      <c r="O56" s="1">
        <f t="shared" ca="1" si="10"/>
        <v>-0.13511992940396833</v>
      </c>
      <c r="Q56" s="76">
        <f t="shared" si="11"/>
        <v>40850.326800000003</v>
      </c>
    </row>
    <row r="57" spans="1:17" x14ac:dyDescent="0.2">
      <c r="A57" s="42" t="s">
        <v>60</v>
      </c>
      <c r="B57" s="43" t="s">
        <v>45</v>
      </c>
      <c r="C57" s="44">
        <v>56643.327700000002</v>
      </c>
      <c r="D57" s="45">
        <v>3.3E-3</v>
      </c>
      <c r="E57" s="26">
        <f t="shared" si="8"/>
        <v>20359.615408656424</v>
      </c>
      <c r="F57" s="38">
        <f t="shared" si="6"/>
        <v>20360</v>
      </c>
      <c r="G57" s="1">
        <f t="shared" si="9"/>
        <v>-0.15381999999954132</v>
      </c>
      <c r="J57" s="1">
        <f>G57</f>
        <v>-0.15381999999954132</v>
      </c>
      <c r="O57" s="1">
        <f t="shared" ca="1" si="10"/>
        <v>-0.15139107559225651</v>
      </c>
      <c r="Q57" s="76">
        <f t="shared" si="11"/>
        <v>41624.827700000002</v>
      </c>
    </row>
    <row r="58" spans="1:17" x14ac:dyDescent="0.2">
      <c r="A58" s="42" t="s">
        <v>60</v>
      </c>
      <c r="B58" s="43" t="s">
        <v>45</v>
      </c>
      <c r="C58" s="44">
        <v>56643.525800000003</v>
      </c>
      <c r="D58" s="45">
        <v>2.7000000000000001E-3</v>
      </c>
      <c r="E58" s="26">
        <f t="shared" si="8"/>
        <v>20360.110711901529</v>
      </c>
      <c r="F58" s="38">
        <f t="shared" si="6"/>
        <v>20360.5</v>
      </c>
      <c r="G58" s="1">
        <f t="shared" si="9"/>
        <v>-0.15569849999883445</v>
      </c>
      <c r="J58" s="1">
        <f>G58</f>
        <v>-0.15569849999883445</v>
      </c>
      <c r="O58" s="1">
        <f t="shared" ca="1" si="10"/>
        <v>-0.15139527676607223</v>
      </c>
      <c r="Q58" s="76">
        <f t="shared" si="11"/>
        <v>41625.025800000003</v>
      </c>
    </row>
    <row r="59" spans="1:17" x14ac:dyDescent="0.2">
      <c r="A59" s="46" t="s">
        <v>61</v>
      </c>
      <c r="B59" s="47" t="s">
        <v>44</v>
      </c>
      <c r="C59" s="48">
        <v>57320.641000000003</v>
      </c>
      <c r="D59" s="48">
        <v>2E-3</v>
      </c>
      <c r="E59" s="26">
        <f t="shared" si="8"/>
        <v>22053.080706175911</v>
      </c>
      <c r="F59" s="38">
        <f t="shared" si="6"/>
        <v>22053.5</v>
      </c>
      <c r="G59" s="1">
        <f t="shared" si="9"/>
        <v>-0.16769950000161771</v>
      </c>
      <c r="K59" s="1">
        <f t="shared" ref="K59:K65" si="12">G59</f>
        <v>-0.16769950000161771</v>
      </c>
      <c r="O59" s="1">
        <f t="shared" ca="1" si="10"/>
        <v>-0.1656204513061042</v>
      </c>
      <c r="Q59" s="76">
        <f t="shared" si="11"/>
        <v>42302.141000000003</v>
      </c>
    </row>
    <row r="60" spans="1:17" x14ac:dyDescent="0.2">
      <c r="A60" s="49" t="s">
        <v>62</v>
      </c>
      <c r="B60" s="50" t="s">
        <v>45</v>
      </c>
      <c r="C60" s="51">
        <v>57343.438099999999</v>
      </c>
      <c r="D60" s="51">
        <v>1.2999999999999999E-3</v>
      </c>
      <c r="E60" s="26">
        <f t="shared" si="8"/>
        <v>22110.07958355522</v>
      </c>
      <c r="F60" s="38">
        <f t="shared" si="6"/>
        <v>22110.5</v>
      </c>
      <c r="G60" s="1">
        <f t="shared" si="9"/>
        <v>-0.16814850000082515</v>
      </c>
      <c r="K60" s="1">
        <f t="shared" si="12"/>
        <v>-0.16814850000082515</v>
      </c>
      <c r="O60" s="1">
        <f t="shared" ca="1" si="10"/>
        <v>-0.1660993851210964</v>
      </c>
      <c r="Q60" s="76">
        <f t="shared" si="11"/>
        <v>42324.938099999999</v>
      </c>
    </row>
    <row r="61" spans="1:17" x14ac:dyDescent="0.2">
      <c r="A61" s="40" t="s">
        <v>55</v>
      </c>
      <c r="B61" s="41" t="s">
        <v>45</v>
      </c>
      <c r="C61" s="40">
        <v>57344.637799999997</v>
      </c>
      <c r="D61" s="40">
        <v>2.0000000000000001E-4</v>
      </c>
      <c r="E61" s="26">
        <f t="shared" si="8"/>
        <v>22113.079156009255</v>
      </c>
      <c r="F61" s="38">
        <f t="shared" si="6"/>
        <v>22113.5</v>
      </c>
      <c r="G61" s="1">
        <f t="shared" si="9"/>
        <v>-0.16831950000778306</v>
      </c>
      <c r="K61" s="1">
        <f t="shared" si="12"/>
        <v>-0.16831950000778306</v>
      </c>
      <c r="O61" s="1">
        <f t="shared" ca="1" si="10"/>
        <v>-0.16612459216399073</v>
      </c>
      <c r="Q61" s="76">
        <f t="shared" si="11"/>
        <v>42326.137799999997</v>
      </c>
    </row>
    <row r="62" spans="1:17" x14ac:dyDescent="0.2">
      <c r="A62" s="52" t="s">
        <v>63</v>
      </c>
      <c r="B62" s="53" t="s">
        <v>45</v>
      </c>
      <c r="C62" s="52">
        <v>57385.031300000002</v>
      </c>
      <c r="D62" s="52" t="s">
        <v>64</v>
      </c>
      <c r="E62" s="26">
        <f t="shared" si="8"/>
        <v>22214.073762929511</v>
      </c>
      <c r="F62" s="38">
        <f t="shared" si="6"/>
        <v>22214.5</v>
      </c>
      <c r="G62" s="1">
        <f t="shared" si="9"/>
        <v>-0.17047650000313297</v>
      </c>
      <c r="K62" s="1">
        <f t="shared" si="12"/>
        <v>-0.17047650000313297</v>
      </c>
      <c r="O62" s="1">
        <f t="shared" ca="1" si="10"/>
        <v>-0.16697322927476638</v>
      </c>
      <c r="Q62" s="76">
        <f t="shared" si="11"/>
        <v>42366.531300000002</v>
      </c>
    </row>
    <row r="63" spans="1:17" x14ac:dyDescent="0.2">
      <c r="A63" s="49" t="s">
        <v>62</v>
      </c>
      <c r="B63" s="50" t="s">
        <v>45</v>
      </c>
      <c r="C63" s="51">
        <v>57385.234499999999</v>
      </c>
      <c r="D63" s="51">
        <v>2.9999999999999997E-4</v>
      </c>
      <c r="E63" s="26">
        <f t="shared" si="8"/>
        <v>22214.581817545375</v>
      </c>
      <c r="F63" s="38">
        <f t="shared" si="6"/>
        <v>22215</v>
      </c>
      <c r="G63" s="1">
        <f t="shared" si="9"/>
        <v>-0.16725500000757165</v>
      </c>
      <c r="K63" s="1">
        <f t="shared" si="12"/>
        <v>-0.16725500000757165</v>
      </c>
      <c r="O63" s="1">
        <f t="shared" ca="1" si="10"/>
        <v>-0.16697743044858215</v>
      </c>
      <c r="Q63" s="76">
        <f t="shared" si="11"/>
        <v>42366.734499999999</v>
      </c>
    </row>
    <row r="64" spans="1:17" x14ac:dyDescent="0.2">
      <c r="A64" s="49" t="s">
        <v>62</v>
      </c>
      <c r="B64" s="50" t="s">
        <v>45</v>
      </c>
      <c r="C64" s="51">
        <v>57385.431299999997</v>
      </c>
      <c r="D64" s="51">
        <v>3.5999999999999999E-3</v>
      </c>
      <c r="E64" s="26">
        <f t="shared" si="8"/>
        <v>22215.073870441054</v>
      </c>
      <c r="F64" s="38">
        <f t="shared" si="6"/>
        <v>22215.5</v>
      </c>
      <c r="G64" s="1">
        <f t="shared" si="9"/>
        <v>-0.1704335000104038</v>
      </c>
      <c r="K64" s="1">
        <f t="shared" si="12"/>
        <v>-0.1704335000104038</v>
      </c>
      <c r="O64" s="1">
        <f t="shared" ca="1" si="10"/>
        <v>-0.16698163162239787</v>
      </c>
      <c r="Q64" s="76">
        <f t="shared" si="11"/>
        <v>42366.931299999997</v>
      </c>
    </row>
    <row r="65" spans="1:17" x14ac:dyDescent="0.2">
      <c r="A65" s="54" t="s">
        <v>65</v>
      </c>
      <c r="B65" s="55" t="s">
        <v>44</v>
      </c>
      <c r="C65" s="56">
        <v>58017.153200000001</v>
      </c>
      <c r="D65" s="57" t="s">
        <v>64</v>
      </c>
      <c r="E65" s="26">
        <f t="shared" si="8"/>
        <v>23794.548413954493</v>
      </c>
      <c r="F65" s="38">
        <f t="shared" si="6"/>
        <v>23795</v>
      </c>
      <c r="G65" s="1">
        <f t="shared" si="9"/>
        <v>-0.18061500000476371</v>
      </c>
      <c r="K65" s="1">
        <f t="shared" si="12"/>
        <v>-0.18061500000476371</v>
      </c>
      <c r="O65" s="1">
        <f t="shared" ca="1" si="10"/>
        <v>-0.18025313970626111</v>
      </c>
      <c r="Q65" s="76">
        <f t="shared" si="11"/>
        <v>42998.653200000001</v>
      </c>
    </row>
    <row r="66" spans="1:17" ht="12" customHeight="1" x14ac:dyDescent="0.2">
      <c r="A66" s="58" t="s">
        <v>66</v>
      </c>
      <c r="B66" s="59" t="s">
        <v>45</v>
      </c>
      <c r="C66" s="60">
        <v>58175.333100000003</v>
      </c>
      <c r="D66" s="60">
        <v>2.9999999999999997E-4</v>
      </c>
      <c r="E66" s="26">
        <f>+(C66-C$7)/C$8</f>
        <v>24190.040679373033</v>
      </c>
      <c r="F66" s="38">
        <f t="shared" si="6"/>
        <v>24190.5</v>
      </c>
      <c r="G66" s="1">
        <f>+C66-(C$7+F66*C$8)</f>
        <v>-0.1837085000006482</v>
      </c>
      <c r="K66" s="1">
        <f>G66</f>
        <v>-0.1837085000006482</v>
      </c>
      <c r="O66" s="1">
        <f ca="1">+C$11+C$12*F66</f>
        <v>-0.18357626819449657</v>
      </c>
      <c r="Q66" s="76">
        <f>+C66-15018.5</f>
        <v>43156.833100000003</v>
      </c>
    </row>
    <row r="67" spans="1:17" ht="12" customHeight="1" x14ac:dyDescent="0.2">
      <c r="A67" s="61" t="s">
        <v>67</v>
      </c>
      <c r="B67" s="62" t="s">
        <v>45</v>
      </c>
      <c r="C67" s="63">
        <v>58805.657299999999</v>
      </c>
      <c r="D67" s="63">
        <v>2.7000000000000001E-3</v>
      </c>
      <c r="E67" s="26">
        <f>+(C67-C$7)/C$8</f>
        <v>25766.020597214188</v>
      </c>
      <c r="F67" s="38">
        <f t="shared" si="6"/>
        <v>25766.5</v>
      </c>
      <c r="G67" s="1">
        <f>+C67-(C$7+F67*C$8)</f>
        <v>-0.1917405000058352</v>
      </c>
      <c r="K67" s="1">
        <f>G67</f>
        <v>-0.1917405000058352</v>
      </c>
      <c r="O67" s="1">
        <f ca="1">+C$11+C$12*F67</f>
        <v>-0.19681836806164976</v>
      </c>
      <c r="Q67" s="76">
        <f>+C67-15018.5</f>
        <v>43787.157299999999</v>
      </c>
    </row>
    <row r="68" spans="1:17" ht="12" customHeight="1" x14ac:dyDescent="0.2">
      <c r="A68" s="78" t="s">
        <v>218</v>
      </c>
      <c r="B68" s="77" t="s">
        <v>45</v>
      </c>
      <c r="C68" s="80">
        <v>59606.358800000002</v>
      </c>
      <c r="D68" s="78">
        <v>4.0000000000000002E-4</v>
      </c>
      <c r="E68" s="26">
        <f t="shared" ref="E68" si="13">+(C68-C$7)/C$8</f>
        <v>27767.989558877573</v>
      </c>
      <c r="F68" s="79">
        <f t="shared" ref="F68" si="14">ROUND(2*E68,0)/2+0.5</f>
        <v>27768.5</v>
      </c>
      <c r="G68" s="1">
        <f t="shared" ref="G68" si="15">+C68-(C$7+F68*C$8)</f>
        <v>-0.20415450000291457</v>
      </c>
      <c r="K68" s="1">
        <f t="shared" ref="K68" si="16">G68</f>
        <v>-0.20415450000291457</v>
      </c>
      <c r="O68" s="1">
        <f t="shared" ref="O68" ca="1" si="17">+C$11+C$12*F68</f>
        <v>-0.2136398680197974</v>
      </c>
      <c r="Q68" s="76">
        <f t="shared" ref="Q68" si="18">+C68-15018.5</f>
        <v>44587.858800000002</v>
      </c>
    </row>
    <row r="69" spans="1:17" ht="12" customHeight="1" x14ac:dyDescent="0.2">
      <c r="A69" s="81" t="s">
        <v>219</v>
      </c>
      <c r="B69" s="82" t="s">
        <v>45</v>
      </c>
      <c r="C69" s="83">
        <v>60212.487949999981</v>
      </c>
      <c r="D69" s="81">
        <v>2.0000000000000001E-4</v>
      </c>
      <c r="E69" s="26">
        <f t="shared" ref="E69" si="19">+(C69-C$7)/C$8</f>
        <v>29283.475348599917</v>
      </c>
      <c r="F69" s="79">
        <f t="shared" ref="F69" si="20">ROUND(2*E69,0)/2+0.5</f>
        <v>29284</v>
      </c>
      <c r="G69" s="1">
        <f t="shared" ref="G69" si="21">+C69-(C$7+F69*C$8)</f>
        <v>-0.20983800002431963</v>
      </c>
      <c r="K69" s="1">
        <f t="shared" ref="K69" si="22">G69</f>
        <v>-0.20983800002431963</v>
      </c>
      <c r="O69" s="1">
        <f t="shared" ref="O69" ca="1" si="23">+C$11+C$12*F69</f>
        <v>-0.22637362585524834</v>
      </c>
      <c r="Q69" s="76">
        <f t="shared" ref="Q69" si="24">+C69-15018.5</f>
        <v>45193.987949999981</v>
      </c>
    </row>
    <row r="70" spans="1:17" ht="12" customHeight="1" x14ac:dyDescent="0.2">
      <c r="C70" s="23"/>
      <c r="D70" s="23"/>
    </row>
    <row r="71" spans="1:17" x14ac:dyDescent="0.2">
      <c r="C71" s="23"/>
      <c r="D71" s="23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8"/>
  <sheetViews>
    <sheetView topLeftCell="A25" workbookViewId="0">
      <selection activeCell="A11" sqref="A11"/>
    </sheetView>
  </sheetViews>
  <sheetFormatPr defaultRowHeight="12.75" x14ac:dyDescent="0.2"/>
  <cols>
    <col min="1" max="1" width="19.7109375" style="23" customWidth="1"/>
    <col min="2" max="2" width="4.42578125" customWidth="1"/>
    <col min="3" max="3" width="12.7109375" style="23" customWidth="1"/>
    <col min="4" max="4" width="5.42578125" customWidth="1"/>
    <col min="5" max="5" width="14.85546875" customWidth="1"/>
    <col min="7" max="7" width="12" customWidth="1"/>
    <col min="8" max="8" width="14.140625" style="23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64" t="s">
        <v>68</v>
      </c>
      <c r="I1" s="65" t="s">
        <v>69</v>
      </c>
      <c r="J1" s="66" t="s">
        <v>35</v>
      </c>
    </row>
    <row r="2" spans="1:16" x14ac:dyDescent="0.2">
      <c r="I2" s="67" t="s">
        <v>70</v>
      </c>
      <c r="J2" s="68" t="s">
        <v>34</v>
      </c>
    </row>
    <row r="3" spans="1:16" x14ac:dyDescent="0.2">
      <c r="A3" s="69" t="s">
        <v>71</v>
      </c>
      <c r="I3" s="67" t="s">
        <v>72</v>
      </c>
      <c r="J3" s="68" t="s">
        <v>32</v>
      </c>
    </row>
    <row r="4" spans="1:16" x14ac:dyDescent="0.2">
      <c r="I4" s="67" t="s">
        <v>73</v>
      </c>
      <c r="J4" s="68" t="s">
        <v>32</v>
      </c>
    </row>
    <row r="5" spans="1:16" x14ac:dyDescent="0.2">
      <c r="I5" s="70" t="s">
        <v>64</v>
      </c>
      <c r="J5" s="71" t="s">
        <v>33</v>
      </c>
    </row>
    <row r="11" spans="1:16" ht="12.75" customHeight="1" x14ac:dyDescent="0.2">
      <c r="A11" s="23" t="str">
        <f t="shared" ref="A11:A48" si="0">P11</f>
        <v>IBVS 5372 </v>
      </c>
      <c r="B11" s="2" t="str">
        <f t="shared" ref="B11:B48" si="1">IF(H11=INT(H11),"I","II")</f>
        <v>I</v>
      </c>
      <c r="C11" s="23">
        <f t="shared" ref="C11:C48" si="2">1*G11</f>
        <v>51832.551800000001</v>
      </c>
      <c r="D11" t="str">
        <f t="shared" ref="D11:D48" si="3">VLOOKUP(F11,I$1:J$5,2,FALSE)</f>
        <v>vis</v>
      </c>
      <c r="E11">
        <f>VLOOKUP(C11,Active!C$21:E$970,3,FALSE)</f>
        <v>8331.3826236320347</v>
      </c>
      <c r="F11" s="2" t="s">
        <v>64</v>
      </c>
      <c r="G11" t="str">
        <f t="shared" ref="G11:G48" si="4">MID(I11,3,LEN(I11)-3)</f>
        <v>51832.5518</v>
      </c>
      <c r="H11" s="23">
        <f t="shared" ref="H11:H48" si="5">1*K11</f>
        <v>-1669</v>
      </c>
      <c r="I11" s="72" t="s">
        <v>74</v>
      </c>
      <c r="J11" s="73" t="s">
        <v>75</v>
      </c>
      <c r="K11" s="72">
        <v>-1669</v>
      </c>
      <c r="L11" s="72" t="s">
        <v>76</v>
      </c>
      <c r="M11" s="73" t="s">
        <v>77</v>
      </c>
      <c r="N11" s="73" t="s">
        <v>78</v>
      </c>
      <c r="O11" s="74" t="s">
        <v>79</v>
      </c>
      <c r="P11" s="75" t="s">
        <v>80</v>
      </c>
    </row>
    <row r="12" spans="1:16" ht="12.75" customHeight="1" x14ac:dyDescent="0.2">
      <c r="A12" s="23" t="str">
        <f t="shared" si="0"/>
        <v>IBVS 5372 </v>
      </c>
      <c r="B12" s="2" t="str">
        <f t="shared" si="1"/>
        <v>I</v>
      </c>
      <c r="C12" s="23">
        <f t="shared" si="2"/>
        <v>51837.352299999999</v>
      </c>
      <c r="D12" t="str">
        <f t="shared" si="3"/>
        <v>vis</v>
      </c>
      <c r="E12">
        <f>VLOOKUP(C12,Active!C$21:E$970,3,FALSE)</f>
        <v>8343.3851639051081</v>
      </c>
      <c r="F12" s="2" t="s">
        <v>64</v>
      </c>
      <c r="G12" t="str">
        <f t="shared" si="4"/>
        <v>51837.3523</v>
      </c>
      <c r="H12" s="23">
        <f t="shared" si="5"/>
        <v>-1657</v>
      </c>
      <c r="I12" s="72" t="s">
        <v>81</v>
      </c>
      <c r="J12" s="73" t="s">
        <v>82</v>
      </c>
      <c r="K12" s="72">
        <v>-1657</v>
      </c>
      <c r="L12" s="72" t="s">
        <v>83</v>
      </c>
      <c r="M12" s="73" t="s">
        <v>77</v>
      </c>
      <c r="N12" s="73" t="s">
        <v>78</v>
      </c>
      <c r="O12" s="74" t="s">
        <v>79</v>
      </c>
      <c r="P12" s="75" t="s">
        <v>80</v>
      </c>
    </row>
    <row r="13" spans="1:16" ht="12.75" customHeight="1" x14ac:dyDescent="0.2">
      <c r="A13" s="23" t="str">
        <f t="shared" si="0"/>
        <v>IBVS 5372 </v>
      </c>
      <c r="B13" s="2" t="str">
        <f t="shared" si="1"/>
        <v>II</v>
      </c>
      <c r="C13" s="23">
        <f t="shared" si="2"/>
        <v>51877.5481</v>
      </c>
      <c r="D13" t="str">
        <f t="shared" si="3"/>
        <v>vis</v>
      </c>
      <c r="E13">
        <f>VLOOKUP(C13,Active!C$21:E$970,3,FALSE)</f>
        <v>8443.8854676877672</v>
      </c>
      <c r="F13" s="2" t="s">
        <v>64</v>
      </c>
      <c r="G13" t="str">
        <f t="shared" si="4"/>
        <v>51877.5481</v>
      </c>
      <c r="H13" s="23">
        <f t="shared" si="5"/>
        <v>-1556.5</v>
      </c>
      <c r="I13" s="72" t="s">
        <v>84</v>
      </c>
      <c r="J13" s="73" t="s">
        <v>85</v>
      </c>
      <c r="K13" s="72">
        <v>-1556.5</v>
      </c>
      <c r="L13" s="72" t="s">
        <v>86</v>
      </c>
      <c r="M13" s="73" t="s">
        <v>77</v>
      </c>
      <c r="N13" s="73" t="s">
        <v>78</v>
      </c>
      <c r="O13" s="74" t="s">
        <v>79</v>
      </c>
      <c r="P13" s="75" t="s">
        <v>80</v>
      </c>
    </row>
    <row r="14" spans="1:16" ht="12.75" customHeight="1" x14ac:dyDescent="0.2">
      <c r="A14" s="23" t="str">
        <f t="shared" si="0"/>
        <v>IBVS 5548 </v>
      </c>
      <c r="B14" s="2" t="str">
        <f t="shared" si="1"/>
        <v>II</v>
      </c>
      <c r="C14" s="23">
        <f t="shared" si="2"/>
        <v>52591.454100000003</v>
      </c>
      <c r="D14" t="str">
        <f t="shared" si="3"/>
        <v>vis</v>
      </c>
      <c r="E14">
        <f>VLOOKUP(C14,Active!C$21:E$970,3,FALSE)</f>
        <v>10228.842350552683</v>
      </c>
      <c r="F14" s="2" t="s">
        <v>64</v>
      </c>
      <c r="G14" t="str">
        <f t="shared" si="4"/>
        <v>52591.4541</v>
      </c>
      <c r="H14" s="23">
        <f t="shared" si="5"/>
        <v>228.5</v>
      </c>
      <c r="I14" s="72" t="s">
        <v>87</v>
      </c>
      <c r="J14" s="73" t="s">
        <v>88</v>
      </c>
      <c r="K14" s="72">
        <v>228.5</v>
      </c>
      <c r="L14" s="72" t="s">
        <v>89</v>
      </c>
      <c r="M14" s="73" t="s">
        <v>77</v>
      </c>
      <c r="N14" s="73" t="s">
        <v>78</v>
      </c>
      <c r="O14" s="74" t="s">
        <v>90</v>
      </c>
      <c r="P14" s="75" t="s">
        <v>91</v>
      </c>
    </row>
    <row r="15" spans="1:16" ht="12.75" customHeight="1" x14ac:dyDescent="0.2">
      <c r="A15" s="23" t="str">
        <f t="shared" si="0"/>
        <v>IBVS 5439 </v>
      </c>
      <c r="B15" s="2" t="str">
        <f t="shared" si="1"/>
        <v>I</v>
      </c>
      <c r="C15" s="23">
        <f t="shared" si="2"/>
        <v>52606.454299999998</v>
      </c>
      <c r="D15" t="str">
        <f t="shared" si="3"/>
        <v>vis</v>
      </c>
      <c r="E15">
        <f>VLOOKUP(C15,Active!C$21:E$970,3,FALSE)</f>
        <v>10266.34688228983</v>
      </c>
      <c r="F15" s="2" t="s">
        <v>64</v>
      </c>
      <c r="G15" t="str">
        <f t="shared" si="4"/>
        <v>52606.4543</v>
      </c>
      <c r="H15" s="23">
        <f t="shared" si="5"/>
        <v>266</v>
      </c>
      <c r="I15" s="72" t="s">
        <v>92</v>
      </c>
      <c r="J15" s="73" t="s">
        <v>93</v>
      </c>
      <c r="K15" s="72">
        <v>266</v>
      </c>
      <c r="L15" s="72" t="s">
        <v>94</v>
      </c>
      <c r="M15" s="73" t="s">
        <v>77</v>
      </c>
      <c r="N15" s="73" t="s">
        <v>78</v>
      </c>
      <c r="O15" s="74" t="s">
        <v>95</v>
      </c>
      <c r="P15" s="75" t="s">
        <v>96</v>
      </c>
    </row>
    <row r="16" spans="1:16" ht="12.75" customHeight="1" x14ac:dyDescent="0.2">
      <c r="A16" s="23" t="str">
        <f t="shared" si="0"/>
        <v>IBVS 5439 </v>
      </c>
      <c r="B16" s="2" t="str">
        <f t="shared" si="1"/>
        <v>I</v>
      </c>
      <c r="C16" s="23">
        <f t="shared" si="2"/>
        <v>52634.449200000003</v>
      </c>
      <c r="D16" t="str">
        <f t="shared" si="3"/>
        <v>vis</v>
      </c>
      <c r="E16">
        <f>VLOOKUP(C16,Active!C$21:E$970,3,FALSE)</f>
        <v>10336.341656728096</v>
      </c>
      <c r="F16" s="2" t="s">
        <v>64</v>
      </c>
      <c r="G16" t="str">
        <f t="shared" si="4"/>
        <v>52634.4492</v>
      </c>
      <c r="H16" s="23">
        <f t="shared" si="5"/>
        <v>336</v>
      </c>
      <c r="I16" s="72" t="s">
        <v>97</v>
      </c>
      <c r="J16" s="73" t="s">
        <v>98</v>
      </c>
      <c r="K16" s="72">
        <v>336</v>
      </c>
      <c r="L16" s="72" t="s">
        <v>99</v>
      </c>
      <c r="M16" s="73" t="s">
        <v>77</v>
      </c>
      <c r="N16" s="73" t="s">
        <v>78</v>
      </c>
      <c r="O16" s="74" t="s">
        <v>95</v>
      </c>
      <c r="P16" s="75" t="s">
        <v>96</v>
      </c>
    </row>
    <row r="17" spans="1:16" ht="12.75" customHeight="1" x14ac:dyDescent="0.2">
      <c r="A17" s="23" t="str">
        <f t="shared" si="0"/>
        <v>IBVS 5548 </v>
      </c>
      <c r="B17" s="2" t="str">
        <f t="shared" si="1"/>
        <v>II</v>
      </c>
      <c r="C17" s="23">
        <f t="shared" si="2"/>
        <v>52963.407500000001</v>
      </c>
      <c r="D17" t="str">
        <f t="shared" si="3"/>
        <v>vis</v>
      </c>
      <c r="E17">
        <f>VLOOKUP(C17,Active!C$21:E$970,3,FALSE)</f>
        <v>11158.825823776049</v>
      </c>
      <c r="F17" s="2" t="s">
        <v>64</v>
      </c>
      <c r="G17" t="str">
        <f t="shared" si="4"/>
        <v>52963.4075</v>
      </c>
      <c r="H17" s="23">
        <f t="shared" si="5"/>
        <v>1158.5</v>
      </c>
      <c r="I17" s="72" t="s">
        <v>100</v>
      </c>
      <c r="J17" s="73" t="s">
        <v>101</v>
      </c>
      <c r="K17" s="72">
        <v>1158.5</v>
      </c>
      <c r="L17" s="72" t="s">
        <v>102</v>
      </c>
      <c r="M17" s="73" t="s">
        <v>77</v>
      </c>
      <c r="N17" s="73" t="s">
        <v>78</v>
      </c>
      <c r="O17" s="74" t="s">
        <v>90</v>
      </c>
      <c r="P17" s="75" t="s">
        <v>91</v>
      </c>
    </row>
    <row r="18" spans="1:16" ht="12.75" customHeight="1" x14ac:dyDescent="0.2">
      <c r="A18" s="23" t="str">
        <f t="shared" si="0"/>
        <v>IBVS 5548 </v>
      </c>
      <c r="B18" s="2" t="str">
        <f t="shared" si="1"/>
        <v>I</v>
      </c>
      <c r="C18" s="23">
        <f t="shared" si="2"/>
        <v>52964.405200000001</v>
      </c>
      <c r="D18" t="str">
        <f t="shared" si="3"/>
        <v>vis</v>
      </c>
      <c r="E18">
        <f>VLOOKUP(C18,Active!C$21:E$970,3,FALSE)</f>
        <v>11161.320341936751</v>
      </c>
      <c r="F18" s="2" t="s">
        <v>64</v>
      </c>
      <c r="G18" t="str">
        <f t="shared" si="4"/>
        <v>52964.4052</v>
      </c>
      <c r="H18" s="23">
        <f t="shared" si="5"/>
        <v>1161</v>
      </c>
      <c r="I18" s="72" t="s">
        <v>103</v>
      </c>
      <c r="J18" s="73" t="s">
        <v>104</v>
      </c>
      <c r="K18" s="72">
        <v>1161</v>
      </c>
      <c r="L18" s="72" t="s">
        <v>105</v>
      </c>
      <c r="M18" s="73" t="s">
        <v>77</v>
      </c>
      <c r="N18" s="73" t="s">
        <v>78</v>
      </c>
      <c r="O18" s="74" t="s">
        <v>90</v>
      </c>
      <c r="P18" s="75" t="s">
        <v>91</v>
      </c>
    </row>
    <row r="19" spans="1:16" ht="12.75" customHeight="1" x14ac:dyDescent="0.2">
      <c r="A19" s="23" t="str">
        <f t="shared" si="0"/>
        <v>IBVS 5548 </v>
      </c>
      <c r="B19" s="2" t="str">
        <f t="shared" si="1"/>
        <v>I</v>
      </c>
      <c r="C19" s="23">
        <f t="shared" si="2"/>
        <v>52976.403400000003</v>
      </c>
      <c r="D19" t="str">
        <f t="shared" si="3"/>
        <v>vis</v>
      </c>
      <c r="E19">
        <f>VLOOKUP(C19,Active!C$21:E$970,3,FALSE)</f>
        <v>11191.319066799679</v>
      </c>
      <c r="F19" s="2" t="s">
        <v>64</v>
      </c>
      <c r="G19" t="str">
        <f t="shared" si="4"/>
        <v>52976.4034</v>
      </c>
      <c r="H19" s="23">
        <f t="shared" si="5"/>
        <v>1191</v>
      </c>
      <c r="I19" s="72" t="s">
        <v>106</v>
      </c>
      <c r="J19" s="73" t="s">
        <v>107</v>
      </c>
      <c r="K19" s="72">
        <v>1191</v>
      </c>
      <c r="L19" s="72" t="s">
        <v>108</v>
      </c>
      <c r="M19" s="73" t="s">
        <v>77</v>
      </c>
      <c r="N19" s="73" t="s">
        <v>78</v>
      </c>
      <c r="O19" s="74" t="s">
        <v>90</v>
      </c>
      <c r="P19" s="75" t="s">
        <v>91</v>
      </c>
    </row>
    <row r="20" spans="1:16" ht="12.75" customHeight="1" x14ac:dyDescent="0.2">
      <c r="A20" s="23" t="str">
        <f t="shared" si="0"/>
        <v>IBVS 5548 </v>
      </c>
      <c r="B20" s="2" t="str">
        <f t="shared" si="1"/>
        <v>II</v>
      </c>
      <c r="C20" s="23">
        <f t="shared" si="2"/>
        <v>53001.400099999999</v>
      </c>
      <c r="D20" t="str">
        <f t="shared" si="3"/>
        <v>vis</v>
      </c>
      <c r="E20">
        <f>VLOOKUP(C20,Active!C$21:E$970,3,FALSE)</f>
        <v>11253.817535385042</v>
      </c>
      <c r="F20" s="2" t="s">
        <v>64</v>
      </c>
      <c r="G20" t="str">
        <f t="shared" si="4"/>
        <v>53001.4001</v>
      </c>
      <c r="H20" s="23">
        <f t="shared" si="5"/>
        <v>1253.5</v>
      </c>
      <c r="I20" s="72" t="s">
        <v>109</v>
      </c>
      <c r="J20" s="73" t="s">
        <v>110</v>
      </c>
      <c r="K20" s="72">
        <v>1253.5</v>
      </c>
      <c r="L20" s="72" t="s">
        <v>111</v>
      </c>
      <c r="M20" s="73" t="s">
        <v>77</v>
      </c>
      <c r="N20" s="73" t="s">
        <v>78</v>
      </c>
      <c r="O20" s="74" t="s">
        <v>90</v>
      </c>
      <c r="P20" s="75" t="s">
        <v>91</v>
      </c>
    </row>
    <row r="21" spans="1:16" ht="12.75" customHeight="1" x14ac:dyDescent="0.2">
      <c r="A21" s="23" t="str">
        <f t="shared" si="0"/>
        <v>IBVS 5603 </v>
      </c>
      <c r="B21" s="2" t="str">
        <f t="shared" si="1"/>
        <v>II</v>
      </c>
      <c r="C21" s="23">
        <f t="shared" si="2"/>
        <v>53020.597699999998</v>
      </c>
      <c r="D21" t="str">
        <f t="shared" si="3"/>
        <v>vis</v>
      </c>
      <c r="E21">
        <f>VLOOKUP(C21,Active!C$21:E$970,3,FALSE)</f>
        <v>11301.81669529473</v>
      </c>
      <c r="F21" s="2" t="s">
        <v>64</v>
      </c>
      <c r="G21" t="str">
        <f t="shared" si="4"/>
        <v>53020.5977</v>
      </c>
      <c r="H21" s="23">
        <f t="shared" si="5"/>
        <v>1301.5</v>
      </c>
      <c r="I21" s="72" t="s">
        <v>112</v>
      </c>
      <c r="J21" s="73" t="s">
        <v>113</v>
      </c>
      <c r="K21" s="72">
        <v>1301.5</v>
      </c>
      <c r="L21" s="72" t="s">
        <v>108</v>
      </c>
      <c r="M21" s="73" t="s">
        <v>77</v>
      </c>
      <c r="N21" s="73" t="s">
        <v>78</v>
      </c>
      <c r="O21" s="74" t="s">
        <v>114</v>
      </c>
      <c r="P21" s="75" t="s">
        <v>115</v>
      </c>
    </row>
    <row r="22" spans="1:16" ht="12.75" customHeight="1" x14ac:dyDescent="0.2">
      <c r="A22" s="23" t="str">
        <f t="shared" si="0"/>
        <v>IBVS 5602 </v>
      </c>
      <c r="B22" s="2" t="str">
        <f t="shared" si="1"/>
        <v>II</v>
      </c>
      <c r="C22" s="23">
        <f t="shared" si="2"/>
        <v>53020.5985</v>
      </c>
      <c r="D22" t="str">
        <f t="shared" si="3"/>
        <v>vis</v>
      </c>
      <c r="E22">
        <f>VLOOKUP(C22,Active!C$21:E$970,3,FALSE)</f>
        <v>11301.818695509759</v>
      </c>
      <c r="F22" s="2" t="s">
        <v>64</v>
      </c>
      <c r="G22" t="str">
        <f t="shared" si="4"/>
        <v>53020.5985</v>
      </c>
      <c r="H22" s="23">
        <f t="shared" si="5"/>
        <v>1301.5</v>
      </c>
      <c r="I22" s="72" t="s">
        <v>116</v>
      </c>
      <c r="J22" s="73" t="s">
        <v>117</v>
      </c>
      <c r="K22" s="72">
        <v>1301.5</v>
      </c>
      <c r="L22" s="72" t="s">
        <v>76</v>
      </c>
      <c r="M22" s="73" t="s">
        <v>77</v>
      </c>
      <c r="N22" s="73" t="s">
        <v>78</v>
      </c>
      <c r="O22" s="74" t="s">
        <v>118</v>
      </c>
      <c r="P22" s="75" t="s">
        <v>119</v>
      </c>
    </row>
    <row r="23" spans="1:16" ht="12.75" customHeight="1" x14ac:dyDescent="0.2">
      <c r="A23" s="23" t="str">
        <f t="shared" si="0"/>
        <v>BAVM 178 </v>
      </c>
      <c r="B23" s="2" t="str">
        <f t="shared" si="1"/>
        <v>I</v>
      </c>
      <c r="C23" s="23">
        <f t="shared" si="2"/>
        <v>53716.305200000003</v>
      </c>
      <c r="D23" t="str">
        <f t="shared" si="3"/>
        <v>vis</v>
      </c>
      <c r="E23">
        <f>VLOOKUP(C23,Active!C$21:E$970,3,FALSE)</f>
        <v>13041.272436786952</v>
      </c>
      <c r="F23" s="2" t="s">
        <v>64</v>
      </c>
      <c r="G23" t="str">
        <f t="shared" si="4"/>
        <v>53716.3052</v>
      </c>
      <c r="H23" s="23">
        <f t="shared" si="5"/>
        <v>3041</v>
      </c>
      <c r="I23" s="72" t="s">
        <v>120</v>
      </c>
      <c r="J23" s="73" t="s">
        <v>121</v>
      </c>
      <c r="K23" s="72">
        <v>3041</v>
      </c>
      <c r="L23" s="72" t="s">
        <v>122</v>
      </c>
      <c r="M23" s="73" t="s">
        <v>123</v>
      </c>
      <c r="N23" s="73" t="s">
        <v>64</v>
      </c>
      <c r="O23" s="74" t="s">
        <v>124</v>
      </c>
      <c r="P23" s="75" t="s">
        <v>125</v>
      </c>
    </row>
    <row r="24" spans="1:16" ht="12.75" customHeight="1" x14ac:dyDescent="0.2">
      <c r="A24" s="23" t="str">
        <f t="shared" si="0"/>
        <v>BAVM 178 </v>
      </c>
      <c r="B24" s="2" t="str">
        <f t="shared" si="1"/>
        <v>II</v>
      </c>
      <c r="C24" s="23">
        <f t="shared" si="2"/>
        <v>53716.506699999998</v>
      </c>
      <c r="D24" t="str">
        <f t="shared" si="3"/>
        <v>vis</v>
      </c>
      <c r="E24">
        <f>VLOOKUP(C24,Active!C$21:E$970,3,FALSE)</f>
        <v>13041.776240945888</v>
      </c>
      <c r="F24" s="2" t="s">
        <v>64</v>
      </c>
      <c r="G24" t="str">
        <f t="shared" si="4"/>
        <v>53716.5067</v>
      </c>
      <c r="H24" s="23">
        <f t="shared" si="5"/>
        <v>3041.5</v>
      </c>
      <c r="I24" s="72" t="s">
        <v>126</v>
      </c>
      <c r="J24" s="73" t="s">
        <v>127</v>
      </c>
      <c r="K24" s="72">
        <v>3041.5</v>
      </c>
      <c r="L24" s="72" t="s">
        <v>128</v>
      </c>
      <c r="M24" s="73" t="s">
        <v>123</v>
      </c>
      <c r="N24" s="73" t="s">
        <v>64</v>
      </c>
      <c r="O24" s="74" t="s">
        <v>124</v>
      </c>
      <c r="P24" s="75" t="s">
        <v>125</v>
      </c>
    </row>
    <row r="25" spans="1:16" ht="12.75" customHeight="1" x14ac:dyDescent="0.2">
      <c r="A25" s="23" t="str">
        <f t="shared" si="0"/>
        <v>BAVM 183 </v>
      </c>
      <c r="B25" s="2" t="str">
        <f t="shared" si="1"/>
        <v>II</v>
      </c>
      <c r="C25" s="23">
        <f t="shared" si="2"/>
        <v>54016.468399999998</v>
      </c>
      <c r="D25" t="str">
        <f t="shared" si="3"/>
        <v>vis</v>
      </c>
      <c r="E25">
        <f>VLOOKUP(C25,Active!C$21:E$970,3,FALSE)</f>
        <v>13791.761114319776</v>
      </c>
      <c r="F25" s="2" t="s">
        <v>64</v>
      </c>
      <c r="G25" t="str">
        <f t="shared" si="4"/>
        <v>54016.4684</v>
      </c>
      <c r="H25" s="23">
        <f t="shared" si="5"/>
        <v>3791.5</v>
      </c>
      <c r="I25" s="72" t="s">
        <v>129</v>
      </c>
      <c r="J25" s="73" t="s">
        <v>130</v>
      </c>
      <c r="K25" s="72">
        <v>3791.5</v>
      </c>
      <c r="L25" s="72" t="s">
        <v>131</v>
      </c>
      <c r="M25" s="73" t="s">
        <v>123</v>
      </c>
      <c r="N25" s="73" t="s">
        <v>132</v>
      </c>
      <c r="O25" s="74" t="s">
        <v>133</v>
      </c>
      <c r="P25" s="75" t="s">
        <v>134</v>
      </c>
    </row>
    <row r="26" spans="1:16" ht="12.75" customHeight="1" x14ac:dyDescent="0.2">
      <c r="A26" s="23" t="str">
        <f t="shared" si="0"/>
        <v> JAAVSO 41;122 </v>
      </c>
      <c r="B26" s="2" t="str">
        <f t="shared" si="1"/>
        <v>II</v>
      </c>
      <c r="C26" s="23">
        <f t="shared" si="2"/>
        <v>54089.657599999999</v>
      </c>
      <c r="D26" t="str">
        <f t="shared" si="3"/>
        <v>vis</v>
      </c>
      <c r="E26">
        <f>VLOOKUP(C26,Active!C$21:E$970,3,FALSE)</f>
        <v>13974.753786031986</v>
      </c>
      <c r="F26" s="2" t="s">
        <v>64</v>
      </c>
      <c r="G26" t="str">
        <f t="shared" si="4"/>
        <v>54089.6576</v>
      </c>
      <c r="H26" s="23">
        <f t="shared" si="5"/>
        <v>3974.5</v>
      </c>
      <c r="I26" s="72" t="s">
        <v>135</v>
      </c>
      <c r="J26" s="73" t="s">
        <v>136</v>
      </c>
      <c r="K26" s="72">
        <v>3974.5</v>
      </c>
      <c r="L26" s="72" t="s">
        <v>137</v>
      </c>
      <c r="M26" s="73" t="s">
        <v>123</v>
      </c>
      <c r="N26" s="73" t="s">
        <v>138</v>
      </c>
      <c r="O26" s="74" t="s">
        <v>139</v>
      </c>
      <c r="P26" s="74" t="s">
        <v>140</v>
      </c>
    </row>
    <row r="27" spans="1:16" ht="12.75" customHeight="1" x14ac:dyDescent="0.2">
      <c r="A27" s="23" t="str">
        <f t="shared" si="0"/>
        <v>IBVS 5979 </v>
      </c>
      <c r="B27" s="2" t="str">
        <f t="shared" si="1"/>
        <v>I</v>
      </c>
      <c r="C27" s="23">
        <f t="shared" si="2"/>
        <v>54366.620900000002</v>
      </c>
      <c r="D27" t="str">
        <f t="shared" si="3"/>
        <v>vis</v>
      </c>
      <c r="E27">
        <f>VLOOKUP(C27,Active!C$21:E$970,3,FALSE)</f>
        <v>14667.236477921371</v>
      </c>
      <c r="F27" s="2" t="s">
        <v>64</v>
      </c>
      <c r="G27" t="str">
        <f t="shared" si="4"/>
        <v>54366.6209</v>
      </c>
      <c r="H27" s="23">
        <f t="shared" si="5"/>
        <v>4667</v>
      </c>
      <c r="I27" s="72" t="s">
        <v>141</v>
      </c>
      <c r="J27" s="73" t="s">
        <v>142</v>
      </c>
      <c r="K27" s="72">
        <v>4667</v>
      </c>
      <c r="L27" s="72" t="s">
        <v>143</v>
      </c>
      <c r="M27" s="73" t="s">
        <v>123</v>
      </c>
      <c r="N27" s="73" t="s">
        <v>64</v>
      </c>
      <c r="O27" s="74" t="s">
        <v>144</v>
      </c>
      <c r="P27" s="75" t="s">
        <v>145</v>
      </c>
    </row>
    <row r="28" spans="1:16" ht="12.75" customHeight="1" x14ac:dyDescent="0.2">
      <c r="A28" s="23" t="str">
        <f t="shared" si="0"/>
        <v>IBVS 5887 </v>
      </c>
      <c r="B28" s="2" t="str">
        <f t="shared" si="1"/>
        <v>II</v>
      </c>
      <c r="C28" s="23">
        <f t="shared" si="2"/>
        <v>54719.573400000001</v>
      </c>
      <c r="D28" t="str">
        <f t="shared" si="3"/>
        <v>vis</v>
      </c>
      <c r="E28">
        <f>VLOOKUP(C28,Active!C$21:E$970,3,FALSE)</f>
        <v>15549.712594103859</v>
      </c>
      <c r="F28" s="2" t="s">
        <v>64</v>
      </c>
      <c r="G28" t="str">
        <f t="shared" si="4"/>
        <v>54719.5734</v>
      </c>
      <c r="H28" s="23">
        <f t="shared" si="5"/>
        <v>5549.5</v>
      </c>
      <c r="I28" s="72" t="s">
        <v>146</v>
      </c>
      <c r="J28" s="73" t="s">
        <v>147</v>
      </c>
      <c r="K28" s="72">
        <v>5549.5</v>
      </c>
      <c r="L28" s="72" t="s">
        <v>148</v>
      </c>
      <c r="M28" s="73" t="s">
        <v>123</v>
      </c>
      <c r="N28" s="73" t="s">
        <v>149</v>
      </c>
      <c r="O28" s="74" t="s">
        <v>150</v>
      </c>
      <c r="P28" s="75" t="s">
        <v>151</v>
      </c>
    </row>
    <row r="29" spans="1:16" ht="12.75" customHeight="1" x14ac:dyDescent="0.2">
      <c r="A29" s="23" t="str">
        <f t="shared" si="0"/>
        <v>IBVS 5887 </v>
      </c>
      <c r="B29" s="2" t="str">
        <f t="shared" si="1"/>
        <v>I</v>
      </c>
      <c r="C29" s="23">
        <f t="shared" si="2"/>
        <v>54722.575400000002</v>
      </c>
      <c r="D29" t="str">
        <f t="shared" si="3"/>
        <v>vis</v>
      </c>
      <c r="E29">
        <f>VLOOKUP(C29,Active!C$21:E$970,3,FALSE)</f>
        <v>15557.218400978099</v>
      </c>
      <c r="F29" s="2" t="s">
        <v>64</v>
      </c>
      <c r="G29" t="str">
        <f t="shared" si="4"/>
        <v>54722.5754</v>
      </c>
      <c r="H29" s="23">
        <f t="shared" si="5"/>
        <v>5557</v>
      </c>
      <c r="I29" s="72" t="s">
        <v>152</v>
      </c>
      <c r="J29" s="73" t="s">
        <v>153</v>
      </c>
      <c r="K29" s="72">
        <v>5557</v>
      </c>
      <c r="L29" s="72" t="s">
        <v>122</v>
      </c>
      <c r="M29" s="73" t="s">
        <v>123</v>
      </c>
      <c r="N29" s="73" t="s">
        <v>149</v>
      </c>
      <c r="O29" s="74" t="s">
        <v>154</v>
      </c>
      <c r="P29" s="75" t="s">
        <v>151</v>
      </c>
    </row>
    <row r="30" spans="1:16" ht="12.75" customHeight="1" x14ac:dyDescent="0.2">
      <c r="A30" s="23" t="str">
        <f t="shared" si="0"/>
        <v>IBVS 5887 </v>
      </c>
      <c r="B30" s="2" t="str">
        <f t="shared" si="1"/>
        <v>II</v>
      </c>
      <c r="C30" s="23">
        <f t="shared" si="2"/>
        <v>54725.573499999999</v>
      </c>
      <c r="D30" t="str">
        <f t="shared" si="3"/>
        <v>vis</v>
      </c>
      <c r="E30">
        <f>VLOOKUP(C30,Active!C$21:E$970,3,FALSE)</f>
        <v>15564.714456804093</v>
      </c>
      <c r="F30" s="2" t="s">
        <v>64</v>
      </c>
      <c r="G30" t="str">
        <f t="shared" si="4"/>
        <v>54725.5735</v>
      </c>
      <c r="H30" s="23">
        <f t="shared" si="5"/>
        <v>5564.5</v>
      </c>
      <c r="I30" s="72" t="s">
        <v>155</v>
      </c>
      <c r="J30" s="73" t="s">
        <v>156</v>
      </c>
      <c r="K30" s="72">
        <v>5564.5</v>
      </c>
      <c r="L30" s="72" t="s">
        <v>157</v>
      </c>
      <c r="M30" s="73" t="s">
        <v>123</v>
      </c>
      <c r="N30" s="73" t="s">
        <v>149</v>
      </c>
      <c r="O30" s="74" t="s">
        <v>158</v>
      </c>
      <c r="P30" s="75" t="s">
        <v>151</v>
      </c>
    </row>
    <row r="31" spans="1:16" ht="12.75" customHeight="1" x14ac:dyDescent="0.2">
      <c r="A31" s="23" t="str">
        <f t="shared" si="0"/>
        <v>IBVS 5887 </v>
      </c>
      <c r="B31" s="2" t="str">
        <f t="shared" si="1"/>
        <v>I</v>
      </c>
      <c r="C31" s="23">
        <f t="shared" si="2"/>
        <v>54726.575199999999</v>
      </c>
      <c r="D31" t="str">
        <f t="shared" si="3"/>
        <v>vis</v>
      </c>
      <c r="E31">
        <f>VLOOKUP(C31,Active!C$21:E$970,3,FALSE)</f>
        <v>15567.218976039912</v>
      </c>
      <c r="F31" s="2" t="s">
        <v>64</v>
      </c>
      <c r="G31" t="str">
        <f t="shared" si="4"/>
        <v>54726.5752</v>
      </c>
      <c r="H31" s="23">
        <f t="shared" si="5"/>
        <v>5567</v>
      </c>
      <c r="I31" s="72" t="s">
        <v>159</v>
      </c>
      <c r="J31" s="73" t="s">
        <v>160</v>
      </c>
      <c r="K31" s="72">
        <v>5567</v>
      </c>
      <c r="L31" s="72" t="s">
        <v>161</v>
      </c>
      <c r="M31" s="73" t="s">
        <v>123</v>
      </c>
      <c r="N31" s="73" t="s">
        <v>149</v>
      </c>
      <c r="O31" s="74" t="s">
        <v>162</v>
      </c>
      <c r="P31" s="75" t="s">
        <v>151</v>
      </c>
    </row>
    <row r="32" spans="1:16" ht="12.75" customHeight="1" x14ac:dyDescent="0.2">
      <c r="A32" s="23" t="str">
        <f t="shared" si="0"/>
        <v>IBVS 5887 </v>
      </c>
      <c r="B32" s="2" t="str">
        <f t="shared" si="1"/>
        <v>I</v>
      </c>
      <c r="C32" s="23">
        <f t="shared" si="2"/>
        <v>54740.5726</v>
      </c>
      <c r="D32" t="str">
        <f t="shared" si="3"/>
        <v>vis</v>
      </c>
      <c r="E32">
        <f>VLOOKUP(C32,Active!C$21:E$970,3,FALSE)</f>
        <v>15602.216238245601</v>
      </c>
      <c r="F32" s="2" t="s">
        <v>64</v>
      </c>
      <c r="G32" t="str">
        <f t="shared" si="4"/>
        <v>54740.5726</v>
      </c>
      <c r="H32" s="23">
        <f t="shared" si="5"/>
        <v>5602</v>
      </c>
      <c r="I32" s="72" t="s">
        <v>163</v>
      </c>
      <c r="J32" s="73" t="s">
        <v>164</v>
      </c>
      <c r="K32" s="72">
        <v>5602</v>
      </c>
      <c r="L32" s="72" t="s">
        <v>143</v>
      </c>
      <c r="M32" s="73" t="s">
        <v>123</v>
      </c>
      <c r="N32" s="73" t="s">
        <v>149</v>
      </c>
      <c r="O32" s="74" t="s">
        <v>165</v>
      </c>
      <c r="P32" s="75" t="s">
        <v>151</v>
      </c>
    </row>
    <row r="33" spans="1:16" ht="12.75" customHeight="1" x14ac:dyDescent="0.2">
      <c r="A33" s="23" t="str">
        <f t="shared" si="0"/>
        <v>IBVS 5887 </v>
      </c>
      <c r="B33" s="2" t="str">
        <f t="shared" si="1"/>
        <v>II</v>
      </c>
      <c r="C33" s="23">
        <f t="shared" si="2"/>
        <v>54747.570699999997</v>
      </c>
      <c r="D33" t="str">
        <f t="shared" si="3"/>
        <v>vis</v>
      </c>
      <c r="E33">
        <f>VLOOKUP(C33,Active!C$21:E$970,3,FALSE)</f>
        <v>15619.71336918717</v>
      </c>
      <c r="F33" s="2" t="s">
        <v>64</v>
      </c>
      <c r="G33" t="str">
        <f t="shared" si="4"/>
        <v>54747.5707</v>
      </c>
      <c r="H33" s="23">
        <f t="shared" si="5"/>
        <v>5619.5</v>
      </c>
      <c r="I33" s="72" t="s">
        <v>166</v>
      </c>
      <c r="J33" s="73" t="s">
        <v>167</v>
      </c>
      <c r="K33" s="72">
        <v>5619.5</v>
      </c>
      <c r="L33" s="72" t="s">
        <v>168</v>
      </c>
      <c r="M33" s="73" t="s">
        <v>123</v>
      </c>
      <c r="N33" s="73" t="s">
        <v>149</v>
      </c>
      <c r="O33" s="74" t="s">
        <v>169</v>
      </c>
      <c r="P33" s="75" t="s">
        <v>151</v>
      </c>
    </row>
    <row r="34" spans="1:16" ht="12.75" customHeight="1" x14ac:dyDescent="0.2">
      <c r="A34" s="23" t="str">
        <f t="shared" si="0"/>
        <v>IBVS 5887 </v>
      </c>
      <c r="B34" s="2" t="str">
        <f t="shared" si="1"/>
        <v>I</v>
      </c>
      <c r="C34" s="23">
        <f t="shared" si="2"/>
        <v>54753.369899999998</v>
      </c>
      <c r="D34" t="str">
        <f t="shared" si="3"/>
        <v>vis</v>
      </c>
      <c r="E34">
        <f>VLOOKUP(C34,Active!C$21:E$970,3,FALSE)</f>
        <v>15634.212927889734</v>
      </c>
      <c r="F34" s="2" t="s">
        <v>64</v>
      </c>
      <c r="G34" t="str">
        <f t="shared" si="4"/>
        <v>54753.3699</v>
      </c>
      <c r="H34" s="23">
        <f t="shared" si="5"/>
        <v>5634</v>
      </c>
      <c r="I34" s="72" t="s">
        <v>170</v>
      </c>
      <c r="J34" s="73" t="s">
        <v>171</v>
      </c>
      <c r="K34" s="72">
        <v>5634</v>
      </c>
      <c r="L34" s="72" t="s">
        <v>157</v>
      </c>
      <c r="M34" s="73" t="s">
        <v>123</v>
      </c>
      <c r="N34" s="73" t="s">
        <v>149</v>
      </c>
      <c r="O34" s="74" t="s">
        <v>172</v>
      </c>
      <c r="P34" s="75" t="s">
        <v>151</v>
      </c>
    </row>
    <row r="35" spans="1:16" ht="12.75" customHeight="1" x14ac:dyDescent="0.2">
      <c r="A35" s="23" t="str">
        <f t="shared" si="0"/>
        <v>IBVS 5887 </v>
      </c>
      <c r="B35" s="2" t="str">
        <f t="shared" si="1"/>
        <v>II</v>
      </c>
      <c r="C35" s="23">
        <f t="shared" si="2"/>
        <v>54753.570599999999</v>
      </c>
      <c r="D35" t="str">
        <f t="shared" si="3"/>
        <v>vis</v>
      </c>
      <c r="E35">
        <f>VLOOKUP(C35,Active!C$21:E$970,3,FALSE)</f>
        <v>15634.714731833661</v>
      </c>
      <c r="F35" s="2" t="s">
        <v>64</v>
      </c>
      <c r="G35" t="str">
        <f t="shared" si="4"/>
        <v>54753.5706</v>
      </c>
      <c r="H35" s="23">
        <f t="shared" si="5"/>
        <v>5634.5</v>
      </c>
      <c r="I35" s="72" t="s">
        <v>173</v>
      </c>
      <c r="J35" s="73" t="s">
        <v>174</v>
      </c>
      <c r="K35" s="72">
        <v>5634.5</v>
      </c>
      <c r="L35" s="72" t="s">
        <v>175</v>
      </c>
      <c r="M35" s="73" t="s">
        <v>123</v>
      </c>
      <c r="N35" s="73" t="s">
        <v>149</v>
      </c>
      <c r="O35" s="74" t="s">
        <v>176</v>
      </c>
      <c r="P35" s="75" t="s">
        <v>151</v>
      </c>
    </row>
    <row r="36" spans="1:16" ht="12.75" customHeight="1" x14ac:dyDescent="0.2">
      <c r="A36" s="23" t="str">
        <f t="shared" si="0"/>
        <v>BAVM 214 </v>
      </c>
      <c r="B36" s="2" t="str">
        <f t="shared" si="1"/>
        <v>I</v>
      </c>
      <c r="C36" s="23">
        <f t="shared" si="2"/>
        <v>55175.316200000001</v>
      </c>
      <c r="D36" t="str">
        <f t="shared" si="3"/>
        <v>vis</v>
      </c>
      <c r="E36">
        <f>VLOOKUP(C36,Active!C$21:E$970,3,FALSE)</f>
        <v>16689.19208814947</v>
      </c>
      <c r="F36" s="2" t="s">
        <v>64</v>
      </c>
      <c r="G36" t="str">
        <f t="shared" si="4"/>
        <v>55175.3162</v>
      </c>
      <c r="H36" s="23">
        <f t="shared" si="5"/>
        <v>6689</v>
      </c>
      <c r="I36" s="72" t="s">
        <v>177</v>
      </c>
      <c r="J36" s="73" t="s">
        <v>178</v>
      </c>
      <c r="K36" s="72">
        <v>6689</v>
      </c>
      <c r="L36" s="72" t="s">
        <v>179</v>
      </c>
      <c r="M36" s="73" t="s">
        <v>123</v>
      </c>
      <c r="N36" s="73" t="s">
        <v>180</v>
      </c>
      <c r="O36" s="74" t="s">
        <v>181</v>
      </c>
      <c r="P36" s="75" t="s">
        <v>182</v>
      </c>
    </row>
    <row r="37" spans="1:16" ht="12.75" customHeight="1" x14ac:dyDescent="0.2">
      <c r="A37" s="23" t="str">
        <f t="shared" si="0"/>
        <v>BAVM 214 </v>
      </c>
      <c r="B37" s="2" t="str">
        <f t="shared" si="1"/>
        <v>I</v>
      </c>
      <c r="C37" s="23">
        <f t="shared" si="2"/>
        <v>55175.318099999997</v>
      </c>
      <c r="D37" t="str">
        <f t="shared" si="3"/>
        <v>vis</v>
      </c>
      <c r="E37">
        <f>VLOOKUP(C37,Active!C$21:E$970,3,FALSE)</f>
        <v>16689.19683866014</v>
      </c>
      <c r="F37" s="2" t="s">
        <v>64</v>
      </c>
      <c r="G37" t="str">
        <f t="shared" si="4"/>
        <v>55175.3181</v>
      </c>
      <c r="H37" s="23">
        <f t="shared" si="5"/>
        <v>6689</v>
      </c>
      <c r="I37" s="72" t="s">
        <v>183</v>
      </c>
      <c r="J37" s="73" t="s">
        <v>184</v>
      </c>
      <c r="K37" s="72">
        <v>6689</v>
      </c>
      <c r="L37" s="72" t="s">
        <v>185</v>
      </c>
      <c r="M37" s="73" t="s">
        <v>123</v>
      </c>
      <c r="N37" s="73" t="s">
        <v>180</v>
      </c>
      <c r="O37" s="74" t="s">
        <v>181</v>
      </c>
      <c r="P37" s="75" t="s">
        <v>182</v>
      </c>
    </row>
    <row r="38" spans="1:16" ht="12.75" customHeight="1" x14ac:dyDescent="0.2">
      <c r="A38" s="23" t="str">
        <f t="shared" si="0"/>
        <v>BAVM 214 </v>
      </c>
      <c r="B38" s="2" t="str">
        <f t="shared" si="1"/>
        <v>I</v>
      </c>
      <c r="C38" s="23">
        <f t="shared" si="2"/>
        <v>55175.318099999997</v>
      </c>
      <c r="D38" t="str">
        <f t="shared" si="3"/>
        <v>vis</v>
      </c>
      <c r="E38">
        <f>VLOOKUP(C38,Active!C$21:E$970,3,FALSE)</f>
        <v>16689.19683866014</v>
      </c>
      <c r="F38" s="2" t="s">
        <v>64</v>
      </c>
      <c r="G38" t="str">
        <f t="shared" si="4"/>
        <v>55175.3181</v>
      </c>
      <c r="H38" s="23">
        <f t="shared" si="5"/>
        <v>6689</v>
      </c>
      <c r="I38" s="72" t="s">
        <v>183</v>
      </c>
      <c r="J38" s="73" t="s">
        <v>184</v>
      </c>
      <c r="K38" s="72">
        <v>6689</v>
      </c>
      <c r="L38" s="72" t="s">
        <v>185</v>
      </c>
      <c r="M38" s="73" t="s">
        <v>123</v>
      </c>
      <c r="N38" s="73" t="s">
        <v>186</v>
      </c>
      <c r="O38" s="74" t="s">
        <v>181</v>
      </c>
      <c r="P38" s="75" t="s">
        <v>182</v>
      </c>
    </row>
    <row r="39" spans="1:16" ht="12.75" customHeight="1" x14ac:dyDescent="0.2">
      <c r="A39" s="23" t="str">
        <f t="shared" si="0"/>
        <v>BAVM 214 </v>
      </c>
      <c r="B39" s="2" t="str">
        <f t="shared" si="1"/>
        <v>II</v>
      </c>
      <c r="C39" s="23">
        <f t="shared" si="2"/>
        <v>55175.512000000002</v>
      </c>
      <c r="D39" t="str">
        <f t="shared" si="3"/>
        <v>vis</v>
      </c>
      <c r="E39">
        <f>VLOOKUP(C39,Active!C$21:E$970,3,FALSE)</f>
        <v>16689.68164077638</v>
      </c>
      <c r="F39" s="2" t="s">
        <v>64</v>
      </c>
      <c r="G39" t="str">
        <f t="shared" si="4"/>
        <v>55175.5120</v>
      </c>
      <c r="H39" s="23">
        <f t="shared" si="5"/>
        <v>6689.5</v>
      </c>
      <c r="I39" s="72" t="s">
        <v>187</v>
      </c>
      <c r="J39" s="73" t="s">
        <v>188</v>
      </c>
      <c r="K39" s="72">
        <v>6689.5</v>
      </c>
      <c r="L39" s="72" t="s">
        <v>189</v>
      </c>
      <c r="M39" s="73" t="s">
        <v>123</v>
      </c>
      <c r="N39" s="73" t="s">
        <v>64</v>
      </c>
      <c r="O39" s="74" t="s">
        <v>181</v>
      </c>
      <c r="P39" s="75" t="s">
        <v>182</v>
      </c>
    </row>
    <row r="40" spans="1:16" ht="12.75" customHeight="1" x14ac:dyDescent="0.2">
      <c r="A40" s="23" t="str">
        <f t="shared" si="0"/>
        <v>BAVM 214 </v>
      </c>
      <c r="B40" s="2" t="str">
        <f t="shared" si="1"/>
        <v>II</v>
      </c>
      <c r="C40" s="23">
        <f t="shared" si="2"/>
        <v>55175.515399999997</v>
      </c>
      <c r="D40" t="str">
        <f t="shared" si="3"/>
        <v>vis</v>
      </c>
      <c r="E40">
        <f>VLOOKUP(C40,Active!C$21:E$970,3,FALSE)</f>
        <v>16689.690141690215</v>
      </c>
      <c r="F40" s="2" t="s">
        <v>64</v>
      </c>
      <c r="G40" t="str">
        <f t="shared" si="4"/>
        <v>55175.5154</v>
      </c>
      <c r="H40" s="23">
        <f t="shared" si="5"/>
        <v>6689.5</v>
      </c>
      <c r="I40" s="72" t="s">
        <v>190</v>
      </c>
      <c r="J40" s="73" t="s">
        <v>191</v>
      </c>
      <c r="K40" s="72">
        <v>6689.5</v>
      </c>
      <c r="L40" s="72" t="s">
        <v>157</v>
      </c>
      <c r="M40" s="73" t="s">
        <v>123</v>
      </c>
      <c r="N40" s="73" t="s">
        <v>64</v>
      </c>
      <c r="O40" s="74" t="s">
        <v>181</v>
      </c>
      <c r="P40" s="75" t="s">
        <v>182</v>
      </c>
    </row>
    <row r="41" spans="1:16" ht="12.75" customHeight="1" x14ac:dyDescent="0.2">
      <c r="A41" s="23" t="str">
        <f t="shared" si="0"/>
        <v>BAVM 214 </v>
      </c>
      <c r="B41" s="2" t="str">
        <f t="shared" si="1"/>
        <v>II</v>
      </c>
      <c r="C41" s="23">
        <f t="shared" si="2"/>
        <v>55175.515399999997</v>
      </c>
      <c r="D41" t="str">
        <f t="shared" si="3"/>
        <v>vis</v>
      </c>
      <c r="E41">
        <f>VLOOKUP(C41,Active!C$21:E$970,3,FALSE)</f>
        <v>16689.690141690215</v>
      </c>
      <c r="F41" s="2" t="s">
        <v>64</v>
      </c>
      <c r="G41" t="str">
        <f t="shared" si="4"/>
        <v>55175.5154</v>
      </c>
      <c r="H41" s="23">
        <f t="shared" si="5"/>
        <v>6689.5</v>
      </c>
      <c r="I41" s="72" t="s">
        <v>190</v>
      </c>
      <c r="J41" s="73" t="s">
        <v>191</v>
      </c>
      <c r="K41" s="72">
        <v>6689.5</v>
      </c>
      <c r="L41" s="72" t="s">
        <v>157</v>
      </c>
      <c r="M41" s="73" t="s">
        <v>123</v>
      </c>
      <c r="N41" s="73" t="s">
        <v>186</v>
      </c>
      <c r="O41" s="74" t="s">
        <v>181</v>
      </c>
      <c r="P41" s="75" t="s">
        <v>182</v>
      </c>
    </row>
    <row r="42" spans="1:16" ht="12.75" customHeight="1" x14ac:dyDescent="0.2">
      <c r="A42" s="23" t="str">
        <f t="shared" si="0"/>
        <v>BAVM 214 </v>
      </c>
      <c r="B42" s="2" t="str">
        <f t="shared" si="1"/>
        <v>II</v>
      </c>
      <c r="C42" s="23">
        <f t="shared" si="2"/>
        <v>55175.516900000002</v>
      </c>
      <c r="D42" t="str">
        <f t="shared" si="3"/>
        <v>vis</v>
      </c>
      <c r="E42">
        <f>VLOOKUP(C42,Active!C$21:E$970,3,FALSE)</f>
        <v>16689.693892093397</v>
      </c>
      <c r="F42" s="2" t="s">
        <v>64</v>
      </c>
      <c r="G42" t="str">
        <f t="shared" si="4"/>
        <v>55175.5169</v>
      </c>
      <c r="H42" s="23">
        <f t="shared" si="5"/>
        <v>6689.5</v>
      </c>
      <c r="I42" s="72" t="s">
        <v>192</v>
      </c>
      <c r="J42" s="73" t="s">
        <v>193</v>
      </c>
      <c r="K42" s="72">
        <v>6689.5</v>
      </c>
      <c r="L42" s="72" t="s">
        <v>122</v>
      </c>
      <c r="M42" s="73" t="s">
        <v>123</v>
      </c>
      <c r="N42" s="73" t="s">
        <v>180</v>
      </c>
      <c r="O42" s="74" t="s">
        <v>181</v>
      </c>
      <c r="P42" s="75" t="s">
        <v>182</v>
      </c>
    </row>
    <row r="43" spans="1:16" ht="12.75" customHeight="1" x14ac:dyDescent="0.2">
      <c r="A43" s="23" t="str">
        <f t="shared" si="0"/>
        <v>IBVS 5945 </v>
      </c>
      <c r="B43" s="2" t="str">
        <f t="shared" si="1"/>
        <v>I</v>
      </c>
      <c r="C43" s="23">
        <f t="shared" si="2"/>
        <v>55201.713499999998</v>
      </c>
      <c r="D43" t="str">
        <f t="shared" si="3"/>
        <v>vis</v>
      </c>
      <c r="E43">
        <f>VLOOKUP(C43,Active!C$21:E$970,3,FALSE)</f>
        <v>16755.192433186552</v>
      </c>
      <c r="F43" s="2" t="s">
        <v>64</v>
      </c>
      <c r="G43" t="str">
        <f t="shared" si="4"/>
        <v>55201.7135</v>
      </c>
      <c r="H43" s="23">
        <f t="shared" si="5"/>
        <v>6755</v>
      </c>
      <c r="I43" s="72" t="s">
        <v>194</v>
      </c>
      <c r="J43" s="73" t="s">
        <v>195</v>
      </c>
      <c r="K43" s="72">
        <v>6755</v>
      </c>
      <c r="L43" s="72" t="s">
        <v>122</v>
      </c>
      <c r="M43" s="73" t="s">
        <v>123</v>
      </c>
      <c r="N43" s="73" t="s">
        <v>64</v>
      </c>
      <c r="O43" s="74" t="s">
        <v>196</v>
      </c>
      <c r="P43" s="75" t="s">
        <v>197</v>
      </c>
    </row>
    <row r="44" spans="1:16" ht="12.75" customHeight="1" x14ac:dyDescent="0.2">
      <c r="A44" s="23" t="str">
        <f t="shared" si="0"/>
        <v>IBVS 5960 </v>
      </c>
      <c r="B44" s="2" t="str">
        <f t="shared" si="1"/>
        <v>II</v>
      </c>
      <c r="C44" s="23">
        <f t="shared" si="2"/>
        <v>55497.873800000001</v>
      </c>
      <c r="D44" t="str">
        <f t="shared" si="3"/>
        <v>vis</v>
      </c>
      <c r="E44">
        <f>VLOOKUP(C44,Active!C$21:E$970,3,FALSE)</f>
        <v>17495.672784824361</v>
      </c>
      <c r="F44" s="2" t="s">
        <v>64</v>
      </c>
      <c r="G44" t="str">
        <f t="shared" si="4"/>
        <v>55497.8738</v>
      </c>
      <c r="H44" s="23">
        <f t="shared" si="5"/>
        <v>7495.5</v>
      </c>
      <c r="I44" s="72" t="s">
        <v>198</v>
      </c>
      <c r="J44" s="73" t="s">
        <v>199</v>
      </c>
      <c r="K44" s="72">
        <v>7495.5</v>
      </c>
      <c r="L44" s="72" t="s">
        <v>157</v>
      </c>
      <c r="M44" s="73" t="s">
        <v>123</v>
      </c>
      <c r="N44" s="73" t="s">
        <v>64</v>
      </c>
      <c r="O44" s="74" t="s">
        <v>196</v>
      </c>
      <c r="P44" s="75" t="s">
        <v>200</v>
      </c>
    </row>
    <row r="45" spans="1:16" ht="12.75" customHeight="1" x14ac:dyDescent="0.2">
      <c r="A45" s="23" t="str">
        <f t="shared" si="0"/>
        <v>OEJV 0160 </v>
      </c>
      <c r="B45" s="2" t="str">
        <f t="shared" si="1"/>
        <v>I</v>
      </c>
      <c r="C45" s="23">
        <f t="shared" si="2"/>
        <v>55829.631139999998</v>
      </c>
      <c r="D45" t="str">
        <f t="shared" si="3"/>
        <v>vis</v>
      </c>
      <c r="E45">
        <f>VLOOKUP(C45,Active!C$21:E$970,3,FALSE)</f>
        <v>18325.155304195185</v>
      </c>
      <c r="F45" s="2" t="s">
        <v>64</v>
      </c>
      <c r="G45" t="str">
        <f t="shared" si="4"/>
        <v>55829.63114</v>
      </c>
      <c r="H45" s="23">
        <f t="shared" si="5"/>
        <v>8325</v>
      </c>
      <c r="I45" s="72" t="s">
        <v>201</v>
      </c>
      <c r="J45" s="73" t="s">
        <v>202</v>
      </c>
      <c r="K45" s="72">
        <v>8325</v>
      </c>
      <c r="L45" s="72" t="s">
        <v>203</v>
      </c>
      <c r="M45" s="73" t="s">
        <v>123</v>
      </c>
      <c r="N45" s="73" t="s">
        <v>180</v>
      </c>
      <c r="O45" s="74" t="s">
        <v>204</v>
      </c>
      <c r="P45" s="75" t="s">
        <v>205</v>
      </c>
    </row>
    <row r="46" spans="1:16" ht="12.75" customHeight="1" x14ac:dyDescent="0.2">
      <c r="A46" s="23" t="str">
        <f t="shared" si="0"/>
        <v>IBVS 6011 </v>
      </c>
      <c r="B46" s="2" t="str">
        <f t="shared" si="1"/>
        <v>I</v>
      </c>
      <c r="C46" s="23">
        <f t="shared" si="2"/>
        <v>55868.826800000003</v>
      </c>
      <c r="D46" t="str">
        <f t="shared" si="3"/>
        <v>vis</v>
      </c>
      <c r="E46">
        <f>VLOOKUP(C46,Active!C$21:E$970,3,FALSE)</f>
        <v>18423.154989161332</v>
      </c>
      <c r="F46" s="2" t="s">
        <v>64</v>
      </c>
      <c r="G46" t="str">
        <f t="shared" si="4"/>
        <v>55868.8268</v>
      </c>
      <c r="H46" s="23">
        <f t="shared" si="5"/>
        <v>8423</v>
      </c>
      <c r="I46" s="72" t="s">
        <v>206</v>
      </c>
      <c r="J46" s="73" t="s">
        <v>207</v>
      </c>
      <c r="K46" s="72">
        <v>8423</v>
      </c>
      <c r="L46" s="72" t="s">
        <v>179</v>
      </c>
      <c r="M46" s="73" t="s">
        <v>123</v>
      </c>
      <c r="N46" s="73" t="s">
        <v>64</v>
      </c>
      <c r="O46" s="74" t="s">
        <v>196</v>
      </c>
      <c r="P46" s="75" t="s">
        <v>208</v>
      </c>
    </row>
    <row r="47" spans="1:16" ht="12.75" customHeight="1" x14ac:dyDescent="0.2">
      <c r="A47" s="23" t="str">
        <f t="shared" si="0"/>
        <v>BAVM 234 </v>
      </c>
      <c r="B47" s="2" t="str">
        <f t="shared" si="1"/>
        <v>II</v>
      </c>
      <c r="C47" s="23">
        <f t="shared" si="2"/>
        <v>56643.327700000002</v>
      </c>
      <c r="D47" t="str">
        <f t="shared" si="3"/>
        <v>vis</v>
      </c>
      <c r="E47">
        <f>VLOOKUP(C47,Active!C$21:E$970,3,FALSE)</f>
        <v>20359.615408656424</v>
      </c>
      <c r="F47" s="2" t="s">
        <v>64</v>
      </c>
      <c r="G47" t="str">
        <f t="shared" si="4"/>
        <v>56643.3277</v>
      </c>
      <c r="H47" s="23">
        <f t="shared" si="5"/>
        <v>10359.5</v>
      </c>
      <c r="I47" s="72" t="s">
        <v>209</v>
      </c>
      <c r="J47" s="73" t="s">
        <v>210</v>
      </c>
      <c r="K47" s="72">
        <v>10359.5</v>
      </c>
      <c r="L47" s="72" t="s">
        <v>211</v>
      </c>
      <c r="M47" s="73" t="s">
        <v>123</v>
      </c>
      <c r="N47" s="73" t="s">
        <v>212</v>
      </c>
      <c r="O47" s="74" t="s">
        <v>181</v>
      </c>
      <c r="P47" s="75" t="s">
        <v>213</v>
      </c>
    </row>
    <row r="48" spans="1:16" ht="12.75" customHeight="1" x14ac:dyDescent="0.2">
      <c r="A48" s="23" t="str">
        <f t="shared" si="0"/>
        <v>BAVM 234 </v>
      </c>
      <c r="B48" s="2" t="str">
        <f t="shared" si="1"/>
        <v>I</v>
      </c>
      <c r="C48" s="23">
        <f t="shared" si="2"/>
        <v>56643.525800000003</v>
      </c>
      <c r="D48" t="str">
        <f t="shared" si="3"/>
        <v>vis</v>
      </c>
      <c r="E48">
        <f>VLOOKUP(C48,Active!C$21:E$970,3,FALSE)</f>
        <v>20360.110711901529</v>
      </c>
      <c r="F48" s="2" t="s">
        <v>64</v>
      </c>
      <c r="G48" t="str">
        <f t="shared" si="4"/>
        <v>56643.5258</v>
      </c>
      <c r="H48" s="23">
        <f t="shared" si="5"/>
        <v>10360</v>
      </c>
      <c r="I48" s="72" t="s">
        <v>214</v>
      </c>
      <c r="J48" s="73" t="s">
        <v>215</v>
      </c>
      <c r="K48" s="72" t="s">
        <v>216</v>
      </c>
      <c r="L48" s="72" t="s">
        <v>217</v>
      </c>
      <c r="M48" s="73" t="s">
        <v>123</v>
      </c>
      <c r="N48" s="73" t="s">
        <v>212</v>
      </c>
      <c r="O48" s="74" t="s">
        <v>181</v>
      </c>
      <c r="P48" s="75" t="s">
        <v>213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14" r:id="rId4" xr:uid="{00000000-0004-0000-0100-000003000000}"/>
    <hyperlink ref="P15" r:id="rId5" xr:uid="{00000000-0004-0000-0100-000004000000}"/>
    <hyperlink ref="P16" r:id="rId6" xr:uid="{00000000-0004-0000-0100-000005000000}"/>
    <hyperlink ref="P17" r:id="rId7" xr:uid="{00000000-0004-0000-0100-000006000000}"/>
    <hyperlink ref="P18" r:id="rId8" xr:uid="{00000000-0004-0000-0100-000007000000}"/>
    <hyperlink ref="P19" r:id="rId9" xr:uid="{00000000-0004-0000-0100-000008000000}"/>
    <hyperlink ref="P20" r:id="rId10" xr:uid="{00000000-0004-0000-0100-000009000000}"/>
    <hyperlink ref="P21" r:id="rId11" xr:uid="{00000000-0004-0000-0100-00000A000000}"/>
    <hyperlink ref="P22" r:id="rId12" xr:uid="{00000000-0004-0000-0100-00000B000000}"/>
    <hyperlink ref="P23" r:id="rId13" xr:uid="{00000000-0004-0000-0100-00000C000000}"/>
    <hyperlink ref="P24" r:id="rId14" xr:uid="{00000000-0004-0000-0100-00000D000000}"/>
    <hyperlink ref="P25" r:id="rId15" xr:uid="{00000000-0004-0000-0100-00000E000000}"/>
    <hyperlink ref="P27" r:id="rId16" xr:uid="{00000000-0004-0000-0100-00000F000000}"/>
    <hyperlink ref="P28" r:id="rId17" xr:uid="{00000000-0004-0000-0100-000010000000}"/>
    <hyperlink ref="P29" r:id="rId18" xr:uid="{00000000-0004-0000-0100-000011000000}"/>
    <hyperlink ref="P30" r:id="rId19" xr:uid="{00000000-0004-0000-0100-000012000000}"/>
    <hyperlink ref="P31" r:id="rId20" xr:uid="{00000000-0004-0000-0100-000013000000}"/>
    <hyperlink ref="P32" r:id="rId21" xr:uid="{00000000-0004-0000-0100-000014000000}"/>
    <hyperlink ref="P33" r:id="rId22" xr:uid="{00000000-0004-0000-0100-000015000000}"/>
    <hyperlink ref="P34" r:id="rId23" xr:uid="{00000000-0004-0000-0100-000016000000}"/>
    <hyperlink ref="P35" r:id="rId24" xr:uid="{00000000-0004-0000-0100-000017000000}"/>
    <hyperlink ref="P36" r:id="rId25" xr:uid="{00000000-0004-0000-0100-000018000000}"/>
    <hyperlink ref="P37" r:id="rId26" xr:uid="{00000000-0004-0000-0100-000019000000}"/>
    <hyperlink ref="P38" r:id="rId27" xr:uid="{00000000-0004-0000-0100-00001A000000}"/>
    <hyperlink ref="P39" r:id="rId28" xr:uid="{00000000-0004-0000-0100-00001B000000}"/>
    <hyperlink ref="P40" r:id="rId29" xr:uid="{00000000-0004-0000-0100-00001C000000}"/>
    <hyperlink ref="P41" r:id="rId30" xr:uid="{00000000-0004-0000-0100-00001D000000}"/>
    <hyperlink ref="P42" r:id="rId31" xr:uid="{00000000-0004-0000-0100-00001E000000}"/>
    <hyperlink ref="P43" r:id="rId32" xr:uid="{00000000-0004-0000-0100-00001F000000}"/>
    <hyperlink ref="P44" r:id="rId33" xr:uid="{00000000-0004-0000-0100-000020000000}"/>
    <hyperlink ref="P45" r:id="rId34" xr:uid="{00000000-0004-0000-0100-000021000000}"/>
    <hyperlink ref="P46" r:id="rId35" xr:uid="{00000000-0004-0000-0100-000022000000}"/>
    <hyperlink ref="P47" r:id="rId36" xr:uid="{00000000-0004-0000-0100-000023000000}"/>
    <hyperlink ref="P48" r:id="rId37" xr:uid="{00000000-0004-0000-0100-000024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2023-01-24T07:27:14Z</dcterms:created>
  <dcterms:modified xsi:type="dcterms:W3CDTF">2025-01-08T07:11:07Z</dcterms:modified>
</cp:coreProperties>
</file>