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F71FF1B-000B-4AEA-964F-FFBBE60B4C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2" i="1"/>
  <c r="F32" i="1"/>
  <c r="G32" i="1"/>
  <c r="K32" i="1" s="1"/>
  <c r="Q32" i="1"/>
  <c r="F14" i="1"/>
  <c r="E29" i="1"/>
  <c r="F29" i="1" s="1"/>
  <c r="G29" i="1" s="1"/>
  <c r="K29" i="1" s="1"/>
  <c r="E30" i="1"/>
  <c r="F30" i="1" s="1"/>
  <c r="G30" i="1" s="1"/>
  <c r="K30" i="1" s="1"/>
  <c r="D9" i="1"/>
  <c r="C9" i="1"/>
  <c r="E21" i="1"/>
  <c r="F21" i="1" s="1"/>
  <c r="G21" i="1" s="1"/>
  <c r="K21" i="1" s="1"/>
  <c r="E22" i="1"/>
  <c r="F22" i="1" s="1"/>
  <c r="G22" i="1" s="1"/>
  <c r="K22" i="1" s="1"/>
  <c r="E23" i="1"/>
  <c r="F23" i="1" s="1"/>
  <c r="G23" i="1" s="1"/>
  <c r="J23" i="1" s="1"/>
  <c r="E24" i="1"/>
  <c r="F24" i="1" s="1"/>
  <c r="G24" i="1" s="1"/>
  <c r="J24" i="1" s="1"/>
  <c r="E25" i="1"/>
  <c r="F25" i="1" s="1"/>
  <c r="G25" i="1" s="1"/>
  <c r="J25" i="1" s="1"/>
  <c r="E26" i="1"/>
  <c r="F26" i="1"/>
  <c r="G26" i="1" s="1"/>
  <c r="K26" i="1" s="1"/>
  <c r="E27" i="1"/>
  <c r="F27" i="1" s="1"/>
  <c r="G27" i="1" s="1"/>
  <c r="K27" i="1" s="1"/>
  <c r="E28" i="1"/>
  <c r="F28" i="1" s="1"/>
  <c r="G28" i="1" s="1"/>
  <c r="K28" i="1" s="1"/>
  <c r="Q29" i="1"/>
  <c r="Q30" i="1"/>
  <c r="Q22" i="1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28" i="1"/>
  <c r="Q25" i="1"/>
  <c r="Q24" i="1"/>
  <c r="Q27" i="1"/>
  <c r="Q23" i="1"/>
  <c r="Q26" i="1"/>
  <c r="C17" i="1"/>
  <c r="Q21" i="1"/>
  <c r="C11" i="1"/>
  <c r="C12" i="1"/>
  <c r="O32" i="1" l="1"/>
  <c r="O31" i="1"/>
  <c r="F15" i="1"/>
  <c r="C16" i="1"/>
  <c r="D18" i="1" s="1"/>
  <c r="O23" i="1"/>
  <c r="O30" i="1"/>
  <c r="O28" i="1"/>
  <c r="O21" i="1"/>
  <c r="O24" i="1"/>
  <c r="O27" i="1"/>
  <c r="C15" i="1"/>
  <c r="O22" i="1"/>
  <c r="O29" i="1"/>
  <c r="O25" i="1"/>
  <c r="O26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<sst xmlns="http://schemas.openxmlformats.org/spreadsheetml/2006/main" count="130" uniqueCount="95">
  <si>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</si>
  <si>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</si>
  <si>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</si>
  <si>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</si>
  <si>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</si>
  <si>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</si>
  <si>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</si>
  <si>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</si>
  <si>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</si>
  <si>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</si>
  <si>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</si>
  <si>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</si>
  <si>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</si>
  <si>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</si>
  <si>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</si>
  <si>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</si>
  <si>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</si>
  <si>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</si>
  <si>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</si>
  <si>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</si>
  <si>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</si>
  <si>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</si>
  <si>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</si>
  <si>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</si>
  <si>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</si>
  <si>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</si>
  <si>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</si>
  <si>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</si>
  <si>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</si>
  <si>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</si>
  <si>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</si>
  <si>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</si>
  <si>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</si>
  <si>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</si>
  <si>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</si>
  <si>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</si>
  <si>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</si>
  <si>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V1239 Tau / GSC 1870-0458</t>
  </si>
  <si>
    <t>G1870-0458</t>
  </si>
  <si>
    <t>EA</t>
  </si>
  <si>
    <t>GRAV</t>
  </si>
  <si>
    <t>IBVS 5959</t>
  </si>
  <si>
    <t>I</t>
  </si>
  <si>
    <t>IBVS 5992</t>
  </si>
  <si>
    <t>OEJV 0160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</si>
  <si>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</si>
  <si>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</si>
  <si>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</si>
  <si>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</si>
  <si>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</si>
  <si>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</si>
  <si>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</si>
  <si>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</si>
  <si>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</si>
  <si>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</si>
  <si>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</si>
  <si>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</si>
  <si>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</si>
  <si>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2454147.0149 </t>
  </si>
  <si>
    <t> 15.02.2007 12:21 </t>
  </si>
  <si>
    <t> -0.0327 </t>
  </si>
  <si>
    <t>C </t>
  </si>
  <si>
    <t> K.Nakajima </t>
  </si>
  <si>
    <t>VSB 46 </t>
  </si>
  <si>
    <t>2454866.2421 </t>
  </si>
  <si>
    <t> 03.02.2009 17:48 </t>
  </si>
  <si>
    <t> -0.0411 </t>
  </si>
  <si>
    <t>-I</t>
  </si>
  <si>
    <t> F.Agerer </t>
  </si>
  <si>
    <t>BAVM 214 </t>
  </si>
  <si>
    <t>2455590.3286 </t>
  </si>
  <si>
    <t> 28.01.2011 19:53 </t>
  </si>
  <si>
    <t>2714.5</t>
  </si>
  <si>
    <t> -0.0720 </t>
  </si>
  <si>
    <t>BAVM 215 </t>
  </si>
  <si>
    <t>2455590.3379 </t>
  </si>
  <si>
    <t> 28.01.2011 20:06 </t>
  </si>
  <si>
    <t> -0.0627 </t>
  </si>
  <si>
    <t>B</t>
  </si>
  <si>
    <t>2455894.61874 </t>
  </si>
  <si>
    <t> 29.11.2011 02:50 </t>
  </si>
  <si>
    <t>2995</t>
  </si>
  <si>
    <t> -0.07386 </t>
  </si>
  <si>
    <t>R</t>
  </si>
  <si>
    <t> M.Lehky </t>
  </si>
  <si>
    <t>OEJV 0160 </t>
  </si>
  <si>
    <t>VSB 060</t>
  </si>
  <si>
    <t>OEJV 0179</t>
  </si>
  <si>
    <t>JAAVSO, 52, 243</t>
  </si>
  <si>
    <t xml:space="preserve">Mag </t>
  </si>
  <si>
    <t>Next ToM-P</t>
  </si>
  <si>
    <t>Next ToM-S</t>
  </si>
  <si>
    <t>10.68-11.10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</si>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</sst>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6" formatCode="0.00000"/>
  </numFmts>
  <fonts count="4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31" fillId="0" borderId="0"/>
    <xf numFmtId="0" fontId="2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5" fillId="0" borderId="0" xfId="42" applyFont="1" applyAlignment="1">
      <alignment horizontal="left"/>
    </xf>
    <xf numFmtId="0" fontId="35" fillId="0" borderId="0" xfId="42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 applyProtection="1">
      <alignment horizontal="center"/>
      <protection locked="0"/>
    </xf>
    <xf numFmtId="166" fontId="37" fillId="0" borderId="0" xfId="0" applyNumberFormat="1" applyFont="1" applyAlignment="1" applyProtection="1">
      <alignment horizontal="left"/>
      <protection locked="0"/>
    </xf>
    <xf numFmtId="0" fontId="0" fillId="0" borderId="18" xfId="0" applyBorder="1" applyAlignment="1">
      <alignment vertical="center"/>
    </xf>
    <xf numFmtId="0" fontId="31" fillId="0" borderId="19" xfId="0" applyFont="1" applyBorder="1" applyAlignment="1">
      <alignment horizontal="right" vertical="center"/>
    </xf>
    <xf numFmtId="0" fontId="38" fillId="0" borderId="21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31" fillId="25" borderId="19" xfId="0" applyFont="1" applyFill="1" applyBorder="1" applyAlignment="1">
      <alignment horizontal="right" vertical="center"/>
    </xf>
    <xf numFmtId="0" fontId="31" fillId="25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39" fillId="0" borderId="22" xfId="0" applyFont="1" applyBorder="1" applyAlignment="1">
      <alignment horizontal="right" vertical="center"/>
    </xf>
    <xf numFmtId="22" fontId="39" fillId="0" borderId="22" xfId="0" applyNumberFormat="1" applyFont="1" applyBorder="1" applyAlignment="1">
      <alignment horizontal="right" vertical="center"/>
    </xf>
    <xf numFmtId="22" fontId="39" fillId="0" borderId="24" xfId="0" applyNumberFormat="1" applyFont="1" applyBorder="1" applyAlignment="1">
      <alignment horizontal="right" vertical="center"/>
    </xf>
    <xf numFmtId="166" fontId="37" fillId="0" borderId="0" xfId="0" applyNumberFormat="1" applyFont="1" applyAlignment="1" applyProtection="1">
      <alignment horizontal="left" vertical="center" wrapText="1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V1239 Tau - O-C Diagr.</a:t>
            </a:r>
          </a:p>
        </c:rich>
      </c:tx>
      <c:layout>
        <c:manualLayout>
          <c:xMode val="edge"/>
          <c:yMode val="edge"/>
          <c:x val="0.3783031988873435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  <c:pt idx="10">
                  <c:v>7109</c:v>
                </c:pt>
                <c:pt idx="11">
                  <c:v>7132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F2-45A7-9946-AF52ACA745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  <c:pt idx="10">
                  <c:v>7109</c:v>
                </c:pt>
                <c:pt idx="11">
                  <c:v>7132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F2-45A7-9946-AF52ACA745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  <c:pt idx="10">
                  <c:v>7109</c:v>
                </c:pt>
                <c:pt idx="11">
                  <c:v>7132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2">
                  <c:v>-9.7000000096159056E-4</c:v>
                </c:pt>
                <c:pt idx="3">
                  <c:v>-2.5144999999611173E-2</c:v>
                </c:pt>
                <c:pt idx="4">
                  <c:v>-1.584500000171829E-2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F2-45A7-9946-AF52ACA745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  <c:pt idx="10">
                  <c:v>7109</c:v>
                </c:pt>
                <c:pt idx="11">
                  <c:v>7132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1.9699999997101258E-2</c:v>
                </c:pt>
                <c:pt idx="1">
                  <c:v>8.6000000010244548E-4</c:v>
                </c:pt>
                <c:pt idx="5">
                  <c:v>-2.2340000003168825E-2</c:v>
                </c:pt>
                <c:pt idx="6">
                  <c:v>-2.4210000003222376E-2</c:v>
                </c:pt>
                <c:pt idx="7">
                  <c:v>-2.575000000797445E-2</c:v>
                </c:pt>
                <c:pt idx="8">
                  <c:v>-3.2120000003487803E-2</c:v>
                </c:pt>
                <c:pt idx="9">
                  <c:v>-3.0470000005152542E-2</c:v>
                </c:pt>
                <c:pt idx="10">
                  <c:v>-7.4590000003809109E-2</c:v>
                </c:pt>
                <c:pt idx="11">
                  <c:v>-6.4320000004954636E-2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F2-45A7-9946-AF52ACA745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  <c:pt idx="10">
                  <c:v>7109</c:v>
                </c:pt>
                <c:pt idx="11">
                  <c:v>7132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F2-45A7-9946-AF52ACA745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  <c:pt idx="10">
                  <c:v>7109</c:v>
                </c:pt>
                <c:pt idx="11">
                  <c:v>7132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F2-45A7-9946-AF52ACA745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  <c:pt idx="10">
                    <c:v>8.9999999999999998E-4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  <c:pt idx="10">
                  <c:v>7109</c:v>
                </c:pt>
                <c:pt idx="11">
                  <c:v>7132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F2-45A7-9946-AF52ACA745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  <c:pt idx="10">
                  <c:v>7109</c:v>
                </c:pt>
                <c:pt idx="11">
                  <c:v>7132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1.6933986310182902E-2</c:v>
                </c:pt>
                <c:pt idx="1">
                  <c:v>1.6122833006015913E-4</c:v>
                </c:pt>
                <c:pt idx="2">
                  <c:v>-7.8736983612847679E-3</c:v>
                </c:pt>
                <c:pt idx="3">
                  <c:v>-1.5963160754154656E-2</c:v>
                </c:pt>
                <c:pt idx="4">
                  <c:v>-1.5963160754154656E-2</c:v>
                </c:pt>
                <c:pt idx="5">
                  <c:v>-1.6078291679596252E-2</c:v>
                </c:pt>
                <c:pt idx="6">
                  <c:v>-1.9362552815877513E-2</c:v>
                </c:pt>
                <c:pt idx="7">
                  <c:v>-2.7215693835472555E-2</c:v>
                </c:pt>
                <c:pt idx="8">
                  <c:v>-3.5371810974650739E-2</c:v>
                </c:pt>
                <c:pt idx="9">
                  <c:v>-3.5747501362933837E-2</c:v>
                </c:pt>
                <c:pt idx="10">
                  <c:v>-6.9220303054479362E-2</c:v>
                </c:pt>
                <c:pt idx="11">
                  <c:v>-6.9499041084495852E-2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F2-45A7-9946-AF52ACA745C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  <c:pt idx="10">
                  <c:v>7109</c:v>
                </c:pt>
                <c:pt idx="11">
                  <c:v>7132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F2-45A7-9946-AF52ACA74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33976"/>
        <c:axId val="1"/>
      </c:scatterChart>
      <c:valAx>
        <c:axId val="775833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33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3365785813630041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38100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304C55-E36D-3F62-E87B-FB99D3ABF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vsolj.cetus-net.org/no46.pdf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P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140625" customWidth="1"/>
    <col min="2" max="2" width="3.85546875" customWidth="1"/>
    <col min="3" max="3" width="11.85546875" customWidth="1"/>
    <col min="4" max="4" width="9.42578125" customWidth="1"/>
    <col min="5" max="5" width="13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29" customFormat="1" ht="20.25">
      <c r="A1" s="57" t="s">
        <v>37</v>
      </c>
      <c r="E1" s="5"/>
      <c r="F1" s="29" t="s">
        <v>38</v>
      </c>
    </row>
    <row r="2" spans="1:6" s="29" customFormat="1" ht="12.95" customHeight="1">
      <c r="A2" s="29" t="s">
        <v>23</v>
      </c>
      <c r="B2" s="29" t="s">
        <v>39</v>
      </c>
      <c r="C2" s="30"/>
      <c r="D2" s="30"/>
      <c r="E2" s="29">
        <v>0</v>
      </c>
    </row>
    <row r="3" spans="1:6" s="29" customFormat="1" ht="12.95" customHeight="1" thickBot="1"/>
    <row r="4" spans="1:6" s="29" customFormat="1" ht="12.95" customHeight="1" thickTop="1" thickBot="1">
      <c r="A4" s="31" t="s">
        <v>0</v>
      </c>
      <c r="C4" s="32">
        <v>52645.6567</v>
      </c>
      <c r="D4" s="33">
        <v>1.0848199999999999</v>
      </c>
    </row>
    <row r="5" spans="1:6" s="29" customFormat="1" ht="12.95" customHeight="1" thickTop="1">
      <c r="A5" s="34" t="s">
        <v>28</v>
      </c>
      <c r="C5" s="35">
        <v>-9.5</v>
      </c>
      <c r="D5" s="29" t="s">
        <v>29</v>
      </c>
    </row>
    <row r="6" spans="1:6" s="29" customFormat="1" ht="12.95" customHeight="1">
      <c r="A6" s="31" t="s">
        <v>1</v>
      </c>
      <c r="E6" s="63" t="s">
        <v>94</v>
      </c>
      <c r="F6" s="73"/>
    </row>
    <row r="7" spans="1:6" s="29" customFormat="1" ht="12.95" customHeight="1">
      <c r="A7" s="29" t="s">
        <v>2</v>
      </c>
      <c r="C7" s="58">
        <v>52645.637000000002</v>
      </c>
      <c r="D7" s="37" t="s">
        <v>93</v>
      </c>
      <c r="E7" s="74">
        <v>52645.548217999996</v>
      </c>
      <c r="F7" s="75" t="s">
        <v>40</v>
      </c>
    </row>
    <row r="8" spans="1:6" s="29" customFormat="1" ht="12.95" customHeight="1">
      <c r="A8" s="29" t="s">
        <v>3</v>
      </c>
      <c r="C8" s="58">
        <v>1.0848100000000001</v>
      </c>
      <c r="D8" s="37" t="s">
        <v>93</v>
      </c>
      <c r="E8" s="76">
        <v>1.0848199999999999</v>
      </c>
      <c r="F8" s="77" t="s">
        <v>40</v>
      </c>
    </row>
    <row r="9" spans="1:6" s="29" customFormat="1" ht="12.95" customHeight="1">
      <c r="A9" s="5" t="s">
        <v>32</v>
      </c>
      <c r="B9" s="38">
        <v>21</v>
      </c>
      <c r="C9" s="39" t="str">
        <f>"F"&amp;B9</f>
        <v>F21</v>
      </c>
      <c r="D9" s="40" t="str">
        <f>"G"&amp;B9</f>
        <v>G21</v>
      </c>
    </row>
    <row r="10" spans="1:6" s="29" customFormat="1" ht="12.95" customHeight="1" thickBot="1">
      <c r="C10" s="41" t="s">
        <v>19</v>
      </c>
      <c r="D10" s="41" t="s">
        <v>20</v>
      </c>
    </row>
    <row r="11" spans="1:6" s="29" customFormat="1" ht="12.95" customHeight="1">
      <c r="A11" s="29" t="s">
        <v>15</v>
      </c>
      <c r="C11" s="40">
        <f ca="1">INTERCEPT(INDIRECT($D$9):G990,INDIRECT($C$9):F990)</f>
        <v>1.6933986310182902E-2</v>
      </c>
      <c r="D11" s="30"/>
    </row>
    <row r="12" spans="1:6" s="29" customFormat="1" ht="12.95" customHeight="1">
      <c r="A12" s="29" t="s">
        <v>16</v>
      </c>
      <c r="C12" s="40">
        <f ca="1">SLOPE(INDIRECT($D$9):G990,INDIRECT($C$9):F990)</f>
        <v>-1.2119044783325681E-5</v>
      </c>
      <c r="D12" s="30"/>
      <c r="E12" s="66" t="s">
        <v>89</v>
      </c>
      <c r="F12" s="67" t="s">
        <v>92</v>
      </c>
    </row>
    <row r="13" spans="1:6" s="29" customFormat="1" ht="12.95" customHeight="1">
      <c r="A13" s="29" t="s">
        <v>18</v>
      </c>
      <c r="C13" s="30" t="s">
        <v>13</v>
      </c>
      <c r="E13" s="64" t="s">
        <v>34</v>
      </c>
      <c r="F13" s="68">
        <v>1</v>
      </c>
    </row>
    <row r="14" spans="1:6" s="29" customFormat="1" ht="12.95" customHeight="1">
      <c r="E14" s="64" t="s">
        <v>30</v>
      </c>
      <c r="F14" s="69">
        <f ca="1">NOW()+15018.5+$C$5/24</f>
        <v>60683.843933449069</v>
      </c>
    </row>
    <row r="15" spans="1:6" s="29" customFormat="1" ht="12.95" customHeight="1">
      <c r="A15" s="42" t="s">
        <v>17</v>
      </c>
      <c r="C15" s="43">
        <f ca="1">(C7+C11)+(C8+C12)*INT(MAX(F21:F3531))</f>
        <v>60382.432420958925</v>
      </c>
      <c r="E15" s="64" t="s">
        <v>35</v>
      </c>
      <c r="F15" s="69">
        <f ca="1">ROUND(2*($F$14-$C$7)/$C$8,0)/2+$F$13</f>
        <v>7411</v>
      </c>
    </row>
    <row r="16" spans="1:6" s="29" customFormat="1" ht="12.95" customHeight="1">
      <c r="A16" s="31" t="s">
        <v>4</v>
      </c>
      <c r="C16" s="44">
        <f ca="1">+C8+C12</f>
        <v>1.0847978809552168</v>
      </c>
      <c r="E16" s="64" t="s">
        <v>31</v>
      </c>
      <c r="F16" s="69">
        <f ca="1">ROUND(2*($F$14-$C$15)/$C$16,0)/2+$F$13</f>
        <v>279</v>
      </c>
    </row>
    <row r="17" spans="1:21" s="29" customFormat="1" ht="12.95" customHeight="1" thickBot="1">
      <c r="A17" s="37" t="s">
        <v>27</v>
      </c>
      <c r="C17" s="29">
        <f>COUNT(C21:C2189)</f>
        <v>12</v>
      </c>
      <c r="E17" s="64" t="s">
        <v>90</v>
      </c>
      <c r="F17" s="70">
        <f ca="1">+$C$15+$C$16*$F$16-15018.5-$C$5/24</f>
        <v>45666.986863078768</v>
      </c>
    </row>
    <row r="18" spans="1:21" s="29" customFormat="1" ht="12.95" customHeight="1" thickTop="1" thickBot="1">
      <c r="A18" s="31" t="s">
        <v>5</v>
      </c>
      <c r="C18" s="45">
        <f ca="1">+C15</f>
        <v>60382.432420958925</v>
      </c>
      <c r="D18" s="62">
        <f ca="1">+C16</f>
        <v>1.0847978809552168</v>
      </c>
      <c r="E18" s="65" t="s">
        <v>91</v>
      </c>
      <c r="F18" s="71">
        <f ca="1">+($C$15+$C$16*$F$16)-($C$16/2)-15018.5-$C$5/24</f>
        <v>45666.444464138287</v>
      </c>
    </row>
    <row r="19" spans="1:21" s="29" customFormat="1" ht="12.95" customHeight="1" thickTop="1">
      <c r="E19" s="37"/>
      <c r="F19" s="46"/>
    </row>
    <row r="20" spans="1:21" s="29" customFormat="1" ht="12.95" customHeight="1" thickBot="1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47" t="s">
        <v>54</v>
      </c>
      <c r="I20" s="47" t="s">
        <v>57</v>
      </c>
      <c r="J20" s="47" t="s">
        <v>51</v>
      </c>
      <c r="K20" s="47" t="s">
        <v>49</v>
      </c>
      <c r="L20" s="47" t="s">
        <v>24</v>
      </c>
      <c r="M20" s="47" t="s">
        <v>25</v>
      </c>
      <c r="N20" s="47" t="s">
        <v>26</v>
      </c>
      <c r="O20" s="47" t="s">
        <v>22</v>
      </c>
      <c r="P20" s="48" t="s">
        <v>21</v>
      </c>
      <c r="Q20" s="41" t="s">
        <v>14</v>
      </c>
      <c r="U20" s="49" t="s">
        <v>33</v>
      </c>
    </row>
    <row r="21" spans="1:21" s="29" customFormat="1" ht="12.95" customHeight="1">
      <c r="A21" s="37" t="s">
        <v>36</v>
      </c>
      <c r="C21" s="36">
        <v>52645.6567</v>
      </c>
      <c r="D21" s="36" t="s">
        <v>13</v>
      </c>
      <c r="E21" s="29">
        <f t="shared" ref="E21:E28" si="0">+(C21-C$7)/C$8</f>
        <v>1.8159862092994403E-2</v>
      </c>
      <c r="F21" s="29">
        <f t="shared" ref="F21:F30" si="1">ROUND(2*E21,0)/2</f>
        <v>0</v>
      </c>
      <c r="G21" s="29">
        <f t="shared" ref="G21:G28" si="2">+C21-(C$7+F21*C$8)</f>
        <v>1.9699999997101258E-2</v>
      </c>
      <c r="K21" s="29">
        <f>+G21</f>
        <v>1.9699999997101258E-2</v>
      </c>
      <c r="O21" s="29">
        <f t="shared" ref="O21:O28" ca="1" si="3">+C$11+C$12*$F21</f>
        <v>1.6933986310182902E-2</v>
      </c>
      <c r="Q21" s="50">
        <f t="shared" ref="Q21:Q28" si="4">+C21-15018.5</f>
        <v>37627.1567</v>
      </c>
    </row>
    <row r="22" spans="1:21" s="29" customFormat="1" ht="12.95" customHeight="1">
      <c r="A22" s="51" t="s">
        <v>63</v>
      </c>
      <c r="B22" s="52" t="s">
        <v>42</v>
      </c>
      <c r="C22" s="53">
        <v>54147.014900000002</v>
      </c>
      <c r="D22" s="36"/>
      <c r="E22" s="29">
        <f t="shared" si="0"/>
        <v>1384.0007927655529</v>
      </c>
      <c r="F22" s="29">
        <f t="shared" si="1"/>
        <v>1384</v>
      </c>
      <c r="G22" s="29">
        <f t="shared" si="2"/>
        <v>8.6000000010244548E-4</v>
      </c>
      <c r="K22" s="29">
        <f>+G22</f>
        <v>8.6000000010244548E-4</v>
      </c>
      <c r="O22" s="29">
        <f t="shared" ca="1" si="3"/>
        <v>1.6122833006015913E-4</v>
      </c>
      <c r="Q22" s="50">
        <f t="shared" si="4"/>
        <v>39128.514900000002</v>
      </c>
    </row>
    <row r="23" spans="1:21" s="29" customFormat="1" ht="12.95" customHeight="1">
      <c r="A23" s="6" t="s">
        <v>41</v>
      </c>
      <c r="B23" s="7" t="s">
        <v>42</v>
      </c>
      <c r="C23" s="6">
        <v>54866.242100000003</v>
      </c>
      <c r="D23" s="6">
        <v>4.0000000000000002E-4</v>
      </c>
      <c r="E23" s="29">
        <f t="shared" si="0"/>
        <v>2046.9991058342018</v>
      </c>
      <c r="F23" s="29">
        <f t="shared" si="1"/>
        <v>2047</v>
      </c>
      <c r="G23" s="29">
        <f t="shared" si="2"/>
        <v>-9.7000000096159056E-4</v>
      </c>
      <c r="J23" s="29">
        <f>+G23</f>
        <v>-9.7000000096159056E-4</v>
      </c>
      <c r="O23" s="29">
        <f t="shared" ca="1" si="3"/>
        <v>-7.8736983612847679E-3</v>
      </c>
      <c r="Q23" s="50">
        <f t="shared" si="4"/>
        <v>39847.742100000003</v>
      </c>
    </row>
    <row r="24" spans="1:21" s="29" customFormat="1" ht="12.95" customHeight="1">
      <c r="A24" s="54" t="s">
        <v>45</v>
      </c>
      <c r="B24" s="54"/>
      <c r="C24" s="55">
        <v>55590.328600000001</v>
      </c>
      <c r="D24" s="55">
        <v>1.4500000000000001E-2</v>
      </c>
      <c r="E24" s="29">
        <f t="shared" si="0"/>
        <v>2714.4768208257651</v>
      </c>
      <c r="F24" s="29">
        <f t="shared" si="1"/>
        <v>2714.5</v>
      </c>
      <c r="G24" s="29">
        <f t="shared" si="2"/>
        <v>-2.5144999999611173E-2</v>
      </c>
      <c r="J24" s="29">
        <f>+G24</f>
        <v>-2.5144999999611173E-2</v>
      </c>
      <c r="O24" s="29">
        <f t="shared" ca="1" si="3"/>
        <v>-1.5963160754154656E-2</v>
      </c>
      <c r="Q24" s="50">
        <f t="shared" si="4"/>
        <v>40571.828600000001</v>
      </c>
    </row>
    <row r="25" spans="1:21" s="29" customFormat="1" ht="12.95" customHeight="1">
      <c r="A25" s="54" t="s">
        <v>45</v>
      </c>
      <c r="B25" s="54"/>
      <c r="C25" s="55">
        <v>55590.337899999999</v>
      </c>
      <c r="D25" s="55">
        <v>1.4500000000000001E-2</v>
      </c>
      <c r="E25" s="29">
        <f t="shared" si="0"/>
        <v>2714.4853937555849</v>
      </c>
      <c r="F25" s="29">
        <f t="shared" si="1"/>
        <v>2714.5</v>
      </c>
      <c r="G25" s="29">
        <f t="shared" si="2"/>
        <v>-1.584500000171829E-2</v>
      </c>
      <c r="J25" s="29">
        <f>+G25</f>
        <v>-1.584500000171829E-2</v>
      </c>
      <c r="O25" s="29">
        <f t="shared" ca="1" si="3"/>
        <v>-1.5963160754154656E-2</v>
      </c>
      <c r="Q25" s="50">
        <f t="shared" si="4"/>
        <v>40571.837899999999</v>
      </c>
    </row>
    <row r="26" spans="1:21" s="29" customFormat="1" ht="12.95" customHeight="1">
      <c r="A26" s="6" t="s">
        <v>43</v>
      </c>
      <c r="B26" s="7" t="s">
        <v>42</v>
      </c>
      <c r="C26" s="6">
        <v>55600.6371</v>
      </c>
      <c r="D26" s="6">
        <v>2.9999999999999997E-4</v>
      </c>
      <c r="E26" s="29">
        <f t="shared" si="0"/>
        <v>2723.979406532017</v>
      </c>
      <c r="F26" s="29">
        <f t="shared" si="1"/>
        <v>2724</v>
      </c>
      <c r="G26" s="29">
        <f t="shared" si="2"/>
        <v>-2.2340000003168825E-2</v>
      </c>
      <c r="K26" s="29">
        <f>+G26</f>
        <v>-2.2340000003168825E-2</v>
      </c>
      <c r="O26" s="29">
        <f t="shared" ca="1" si="3"/>
        <v>-1.6078291679596252E-2</v>
      </c>
      <c r="Q26" s="50">
        <f t="shared" si="4"/>
        <v>40582.1371</v>
      </c>
    </row>
    <row r="27" spans="1:21" s="29" customFormat="1" ht="12.95" customHeight="1">
      <c r="A27" s="56" t="s">
        <v>44</v>
      </c>
      <c r="B27" s="7" t="s">
        <v>42</v>
      </c>
      <c r="C27" s="6">
        <v>55894.618739999998</v>
      </c>
      <c r="D27" s="6">
        <v>2.9999999999999997E-4</v>
      </c>
      <c r="E27" s="29">
        <f t="shared" si="0"/>
        <v>2994.977682727847</v>
      </c>
      <c r="F27" s="29">
        <f t="shared" si="1"/>
        <v>2995</v>
      </c>
      <c r="G27" s="29">
        <f t="shared" si="2"/>
        <v>-2.4210000003222376E-2</v>
      </c>
      <c r="K27" s="29">
        <f>+G27</f>
        <v>-2.4210000003222376E-2</v>
      </c>
      <c r="O27" s="29">
        <f t="shared" ca="1" si="3"/>
        <v>-1.9362552815877513E-2</v>
      </c>
      <c r="Q27" s="50">
        <f t="shared" si="4"/>
        <v>40876.118739999998</v>
      </c>
    </row>
    <row r="28" spans="1:21" ht="12.95" customHeight="1">
      <c r="A28" s="21" t="s">
        <v>46</v>
      </c>
      <c r="B28" s="22" t="s">
        <v>42</v>
      </c>
      <c r="C28" s="23">
        <v>56597.574079999999</v>
      </c>
      <c r="D28" s="21">
        <v>4.0000000000000002E-4</v>
      </c>
      <c r="E28">
        <f t="shared" si="0"/>
        <v>3642.9762631244143</v>
      </c>
      <c r="F28">
        <f t="shared" si="1"/>
        <v>3643</v>
      </c>
      <c r="G28">
        <f t="shared" si="2"/>
        <v>-2.575000000797445E-2</v>
      </c>
      <c r="K28">
        <f>+G28</f>
        <v>-2.575000000797445E-2</v>
      </c>
      <c r="O28">
        <f t="shared" ca="1" si="3"/>
        <v>-2.7215693835472555E-2</v>
      </c>
      <c r="Q28" s="1">
        <f t="shared" si="4"/>
        <v>41579.074079999999</v>
      </c>
    </row>
    <row r="29" spans="1:21" ht="12.95" customHeight="1">
      <c r="A29" s="24" t="s">
        <v>87</v>
      </c>
      <c r="B29" s="25" t="s">
        <v>42</v>
      </c>
      <c r="C29" s="26">
        <v>57327.644840000001</v>
      </c>
      <c r="D29" s="26">
        <v>4.0000000000000002E-4</v>
      </c>
      <c r="E29">
        <f>+(C29-C$7)/C$8</f>
        <v>4315.9703911283987</v>
      </c>
      <c r="F29">
        <f t="shared" si="1"/>
        <v>4316</v>
      </c>
      <c r="G29">
        <f>+C29-(C$7+F29*C$8)</f>
        <v>-3.2120000003487803E-2</v>
      </c>
      <c r="K29">
        <f>+G29</f>
        <v>-3.2120000003487803E-2</v>
      </c>
      <c r="O29">
        <f ca="1">+C$11+C$12*$F29</f>
        <v>-3.5371810974650739E-2</v>
      </c>
      <c r="Q29" s="1">
        <f>+C29-15018.5</f>
        <v>42309.144840000001</v>
      </c>
    </row>
    <row r="30" spans="1:21" ht="12.95" customHeight="1">
      <c r="A30" s="27" t="s">
        <v>86</v>
      </c>
      <c r="B30" s="28" t="s">
        <v>42</v>
      </c>
      <c r="C30" s="27">
        <v>57361.275600000001</v>
      </c>
      <c r="D30" s="27" t="s">
        <v>56</v>
      </c>
      <c r="E30">
        <f>+(C30-C$7)/C$8</f>
        <v>4346.9719121320768</v>
      </c>
      <c r="F30">
        <f t="shared" si="1"/>
        <v>4347</v>
      </c>
      <c r="G30">
        <f>+C30-(C$7+F30*C$8)</f>
        <v>-3.0470000005152542E-2</v>
      </c>
      <c r="K30">
        <f>+G30</f>
        <v>-3.0470000005152542E-2</v>
      </c>
      <c r="O30">
        <f ca="1">+C$11+C$12*$F30</f>
        <v>-3.5747501362933837E-2</v>
      </c>
      <c r="Q30" s="1">
        <f>+C30-15018.5</f>
        <v>42342.775600000001</v>
      </c>
    </row>
    <row r="31" spans="1:21" ht="12.95" customHeight="1">
      <c r="A31" s="59" t="s">
        <v>88</v>
      </c>
      <c r="B31" s="60" t="s">
        <v>42</v>
      </c>
      <c r="C31" s="72">
        <v>60357.476699999999</v>
      </c>
      <c r="D31" s="61">
        <v>8.9999999999999998E-4</v>
      </c>
      <c r="E31">
        <f t="shared" ref="E31:E32" si="5">+(C31-C$7)/C$8</f>
        <v>7108.9312414155438</v>
      </c>
      <c r="F31">
        <f t="shared" ref="F31:F32" si="6">ROUND(2*E31,0)/2</f>
        <v>7109</v>
      </c>
      <c r="G31">
        <f t="shared" ref="G31:G32" si="7">+C31-(C$7+F31*C$8)</f>
        <v>-7.4590000003809109E-2</v>
      </c>
      <c r="K31">
        <f t="shared" ref="K31:K32" si="8">+G31</f>
        <v>-7.4590000003809109E-2</v>
      </c>
      <c r="O31">
        <f t="shared" ref="O31:O32" ca="1" si="9">+C$11+C$12*$F31</f>
        <v>-6.9220303054479362E-2</v>
      </c>
      <c r="Q31" s="1">
        <f t="shared" ref="Q31:Q32" si="10">+C31-15018.5</f>
        <v>45338.976699999999</v>
      </c>
    </row>
    <row r="32" spans="1:21" ht="12.95" customHeight="1">
      <c r="A32" s="59" t="s">
        <v>88</v>
      </c>
      <c r="B32" s="60" t="s">
        <v>42</v>
      </c>
      <c r="C32" s="72">
        <v>60382.437599999997</v>
      </c>
      <c r="D32" s="61">
        <v>2.9999999999999997E-4</v>
      </c>
      <c r="E32">
        <f t="shared" si="5"/>
        <v>7131.9407085111625</v>
      </c>
      <c r="F32">
        <f t="shared" si="6"/>
        <v>7132</v>
      </c>
      <c r="G32">
        <f t="shared" si="7"/>
        <v>-6.4320000004954636E-2</v>
      </c>
      <c r="K32">
        <f t="shared" si="8"/>
        <v>-6.4320000004954636E-2</v>
      </c>
      <c r="O32">
        <f t="shared" ca="1" si="9"/>
        <v>-6.9499041084495852E-2</v>
      </c>
      <c r="Q32" s="1">
        <f t="shared" si="10"/>
        <v>45363.937599999997</v>
      </c>
    </row>
    <row r="33" spans="3:4" ht="12.95" customHeight="1">
      <c r="C33" s="3"/>
      <c r="D33" s="3"/>
    </row>
    <row r="34" spans="3:4" ht="12.95" customHeight="1">
      <c r="C34" s="3"/>
      <c r="D34" s="3"/>
    </row>
    <row r="35" spans="3:4" ht="12.95" customHeight="1">
      <c r="C35" s="3"/>
      <c r="D35" s="3"/>
    </row>
    <row r="36" spans="3:4" ht="12.95" customHeight="1">
      <c r="C36" s="3"/>
      <c r="D36" s="3"/>
    </row>
    <row r="37" spans="3:4" ht="12.95" customHeight="1">
      <c r="C37" s="3"/>
      <c r="D37" s="3"/>
    </row>
    <row r="38" spans="3:4" ht="12.95" customHeight="1">
      <c r="C38" s="3"/>
      <c r="D38" s="3"/>
    </row>
    <row r="39" spans="3:4" ht="12.95" customHeight="1">
      <c r="C39" s="3"/>
      <c r="D39" s="3"/>
    </row>
    <row r="40" spans="3:4" ht="12.95" customHeight="1">
      <c r="C40" s="3"/>
      <c r="D40" s="3"/>
    </row>
    <row r="41" spans="3:4" ht="12.95" customHeight="1">
      <c r="C41" s="3"/>
      <c r="D41" s="3"/>
    </row>
    <row r="42" spans="3:4" ht="12.95" customHeight="1">
      <c r="C42" s="3"/>
      <c r="D42" s="3"/>
    </row>
    <row r="43" spans="3:4" ht="12.95" customHeight="1">
      <c r="C43" s="3"/>
      <c r="D43" s="3"/>
    </row>
    <row r="44" spans="3:4" ht="12.95" customHeight="1">
      <c r="C44" s="3"/>
      <c r="D44" s="3"/>
    </row>
    <row r="45" spans="3:4" ht="12.95" customHeight="1">
      <c r="C45" s="3"/>
      <c r="D45" s="3"/>
    </row>
    <row r="46" spans="3:4" ht="12.95" customHeight="1">
      <c r="C46" s="3"/>
      <c r="D46" s="3"/>
    </row>
    <row r="47" spans="3:4" ht="12.95" customHeight="1">
      <c r="C47" s="3"/>
      <c r="D47" s="3"/>
    </row>
    <row r="48" spans="3:4" ht="12.95" customHeight="1">
      <c r="C48" s="3"/>
      <c r="D48" s="3"/>
    </row>
    <row r="49" spans="3:4" ht="12.95" customHeight="1">
      <c r="C49" s="3"/>
      <c r="D49" s="3"/>
    </row>
    <row r="50" spans="3:4" ht="12.95" customHeight="1">
      <c r="C50" s="3"/>
      <c r="D50" s="3"/>
    </row>
    <row r="51" spans="3:4" ht="12.95" customHeight="1">
      <c r="C51" s="3"/>
      <c r="D51" s="3"/>
    </row>
    <row r="52" spans="3:4" ht="12.95" customHeight="1">
      <c r="C52" s="3"/>
      <c r="D52" s="3"/>
    </row>
    <row r="53" spans="3:4" ht="12.95" customHeight="1">
      <c r="C53" s="3"/>
      <c r="D53" s="3"/>
    </row>
    <row r="54" spans="3:4" ht="12.95" customHeight="1">
      <c r="C54" s="3"/>
      <c r="D54" s="3"/>
    </row>
    <row r="55" spans="3:4" ht="12.95" customHeight="1">
      <c r="C55" s="3"/>
      <c r="D55" s="3"/>
    </row>
    <row r="56" spans="3:4" ht="12.95" customHeight="1">
      <c r="C56" s="3"/>
      <c r="D56" s="3"/>
    </row>
    <row r="57" spans="3:4" ht="12.95" customHeight="1">
      <c r="C57" s="3"/>
      <c r="D57" s="3"/>
    </row>
    <row r="58" spans="3:4" ht="12.95" customHeight="1">
      <c r="C58" s="3"/>
      <c r="D58" s="3"/>
    </row>
    <row r="59" spans="3:4" ht="12.95" customHeight="1">
      <c r="C59" s="3"/>
      <c r="D59" s="3"/>
    </row>
    <row r="60" spans="3:4" ht="12.95" customHeight="1">
      <c r="C60" s="3"/>
      <c r="D60" s="3"/>
    </row>
    <row r="61" spans="3:4" ht="12.95" customHeight="1">
      <c r="C61" s="3"/>
      <c r="D61" s="3"/>
    </row>
    <row r="62" spans="3:4" ht="12.95" customHeight="1">
      <c r="C62" s="3"/>
      <c r="D62" s="3"/>
    </row>
    <row r="63" spans="3:4" ht="12.95" customHeight="1">
      <c r="C63" s="3"/>
      <c r="D63" s="3"/>
    </row>
    <row r="64" spans="3:4" ht="12.95" customHeight="1">
      <c r="C64" s="3"/>
      <c r="D64" s="3"/>
    </row>
    <row r="65" spans="3:4" ht="12.95" customHeight="1">
      <c r="C65" s="3"/>
      <c r="D65" s="3"/>
    </row>
    <row r="66" spans="3:4" ht="12.95" customHeight="1">
      <c r="C66" s="3"/>
      <c r="D66" s="3"/>
    </row>
    <row r="67" spans="3:4" ht="12.95" customHeight="1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9"/>
  <sheetViews>
    <sheetView workbookViewId="0">
      <selection activeCell="A11" sqref="A11:C11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8" t="s">
        <v>47</v>
      </c>
      <c r="I1" s="9" t="s">
        <v>48</v>
      </c>
      <c r="J1" s="10" t="s">
        <v>49</v>
      </c>
    </row>
    <row r="2" spans="1:16">
      <c r="I2" s="11" t="s">
        <v>50</v>
      </c>
      <c r="J2" s="12" t="s">
        <v>51</v>
      </c>
    </row>
    <row r="3" spans="1:16">
      <c r="A3" s="13" t="s">
        <v>52</v>
      </c>
      <c r="I3" s="11" t="s">
        <v>53</v>
      </c>
      <c r="J3" s="12" t="s">
        <v>54</v>
      </c>
    </row>
    <row r="4" spans="1:16">
      <c r="I4" s="11" t="s">
        <v>55</v>
      </c>
      <c r="J4" s="12" t="s">
        <v>54</v>
      </c>
    </row>
    <row r="5" spans="1:16" ht="13.5" thickBot="1">
      <c r="I5" s="14" t="s">
        <v>56</v>
      </c>
      <c r="J5" s="15" t="s">
        <v>57</v>
      </c>
    </row>
    <row r="10" spans="1:16" ht="13.5" thickBot="1"/>
    <row r="11" spans="1:16" ht="12.75" customHeight="1" thickBot="1">
      <c r="A11" s="3" t="str">
        <f>P11</f>
        <v>VSB 46 </v>
      </c>
      <c r="B11" s="2" t="str">
        <f>IF(H11=INT(H11),"I","II")</f>
        <v>I</v>
      </c>
      <c r="C11" s="3">
        <f>1*G11</f>
        <v>54147.014900000002</v>
      </c>
      <c r="D11" s="4" t="str">
        <f>VLOOKUP(F11,I$1:J$5,2,FALSE)</f>
        <v>vis</v>
      </c>
      <c r="E11" s="16">
        <f>VLOOKUP(C11,Active!C$21:E$971,3,FALSE)</f>
        <v>1384.0007927655529</v>
      </c>
      <c r="F11" s="2" t="s">
        <v>56</v>
      </c>
      <c r="G11" s="4" t="str">
        <f>MID(I11,3,LEN(I11)-3)</f>
        <v>54147.0149</v>
      </c>
      <c r="H11" s="3">
        <f>1*K11</f>
        <v>1384</v>
      </c>
      <c r="I11" s="17" t="s">
        <v>58</v>
      </c>
      <c r="J11" s="18" t="s">
        <v>59</v>
      </c>
      <c r="K11" s="17">
        <v>1384</v>
      </c>
      <c r="L11" s="17" t="s">
        <v>60</v>
      </c>
      <c r="M11" s="18" t="s">
        <v>61</v>
      </c>
      <c r="N11" s="18" t="s">
        <v>56</v>
      </c>
      <c r="O11" s="19" t="s">
        <v>62</v>
      </c>
      <c r="P11" s="20" t="s">
        <v>63</v>
      </c>
    </row>
    <row r="12" spans="1:16" ht="12.75" customHeight="1" thickBot="1">
      <c r="A12" s="3" t="str">
        <f>P12</f>
        <v>BAVM 214 </v>
      </c>
      <c r="B12" s="2" t="str">
        <f>IF(H12=INT(H12),"I","II")</f>
        <v>I</v>
      </c>
      <c r="C12" s="3">
        <f>1*G12</f>
        <v>54866.242100000003</v>
      </c>
      <c r="D12" s="4" t="str">
        <f>VLOOKUP(F12,I$1:J$5,2,FALSE)</f>
        <v>vis</v>
      </c>
      <c r="E12" s="16">
        <f>VLOOKUP(C12,Active!C$21:E$971,3,FALSE)</f>
        <v>2046.9991058342018</v>
      </c>
      <c r="F12" s="2" t="s">
        <v>56</v>
      </c>
      <c r="G12" s="4" t="str">
        <f>MID(I12,3,LEN(I12)-3)</f>
        <v>54866.2421</v>
      </c>
      <c r="H12" s="3">
        <f>1*K12</f>
        <v>2047</v>
      </c>
      <c r="I12" s="17" t="s">
        <v>64</v>
      </c>
      <c r="J12" s="18" t="s">
        <v>65</v>
      </c>
      <c r="K12" s="17">
        <v>2047</v>
      </c>
      <c r="L12" s="17" t="s">
        <v>66</v>
      </c>
      <c r="M12" s="18" t="s">
        <v>61</v>
      </c>
      <c r="N12" s="18" t="s">
        <v>67</v>
      </c>
      <c r="O12" s="19" t="s">
        <v>68</v>
      </c>
      <c r="P12" s="20" t="s">
        <v>69</v>
      </c>
    </row>
    <row r="13" spans="1:16" ht="12.75" customHeight="1" thickBot="1">
      <c r="A13" s="3" t="str">
        <f>P13</f>
        <v>BAVM 215 </v>
      </c>
      <c r="B13" s="2" t="str">
        <f>IF(H13=INT(H13),"I","II")</f>
        <v>II</v>
      </c>
      <c r="C13" s="3">
        <f>1*G13</f>
        <v>55590.328600000001</v>
      </c>
      <c r="D13" s="4" t="str">
        <f>VLOOKUP(F13,I$1:J$5,2,FALSE)</f>
        <v>vis</v>
      </c>
      <c r="E13" s="16">
        <f>VLOOKUP(C13,Active!C$21:E$971,3,FALSE)</f>
        <v>2714.4768208257651</v>
      </c>
      <c r="F13" s="2" t="s">
        <v>56</v>
      </c>
      <c r="G13" s="4" t="str">
        <f>MID(I13,3,LEN(I13)-3)</f>
        <v>55590.3286</v>
      </c>
      <c r="H13" s="3">
        <f>1*K13</f>
        <v>2714.5</v>
      </c>
      <c r="I13" s="17" t="s">
        <v>70</v>
      </c>
      <c r="J13" s="18" t="s">
        <v>71</v>
      </c>
      <c r="K13" s="17" t="s">
        <v>72</v>
      </c>
      <c r="L13" s="17" t="s">
        <v>73</v>
      </c>
      <c r="M13" s="18" t="s">
        <v>61</v>
      </c>
      <c r="N13" s="18" t="s">
        <v>56</v>
      </c>
      <c r="O13" s="19" t="s">
        <v>68</v>
      </c>
      <c r="P13" s="20" t="s">
        <v>74</v>
      </c>
    </row>
    <row r="14" spans="1:16" ht="12.75" customHeight="1" thickBot="1">
      <c r="A14" s="3" t="str">
        <f>P14</f>
        <v>BAVM 215 </v>
      </c>
      <c r="B14" s="2" t="str">
        <f>IF(H14=INT(H14),"I","II")</f>
        <v>II</v>
      </c>
      <c r="C14" s="3">
        <f>1*G14</f>
        <v>55590.337899999999</v>
      </c>
      <c r="D14" s="4" t="str">
        <f>VLOOKUP(F14,I$1:J$5,2,FALSE)</f>
        <v>vis</v>
      </c>
      <c r="E14" s="16">
        <f>VLOOKUP(C14,Active!C$21:E$971,3,FALSE)</f>
        <v>2714.4853937555849</v>
      </c>
      <c r="F14" s="2" t="s">
        <v>56</v>
      </c>
      <c r="G14" s="4" t="str">
        <f>MID(I14,3,LEN(I14)-3)</f>
        <v>55590.3379</v>
      </c>
      <c r="H14" s="3">
        <f>1*K14</f>
        <v>2714.5</v>
      </c>
      <c r="I14" s="17" t="s">
        <v>75</v>
      </c>
      <c r="J14" s="18" t="s">
        <v>76</v>
      </c>
      <c r="K14" s="17" t="s">
        <v>72</v>
      </c>
      <c r="L14" s="17" t="s">
        <v>77</v>
      </c>
      <c r="M14" s="18" t="s">
        <v>61</v>
      </c>
      <c r="N14" s="18" t="s">
        <v>78</v>
      </c>
      <c r="O14" s="19" t="s">
        <v>68</v>
      </c>
      <c r="P14" s="20" t="s">
        <v>74</v>
      </c>
    </row>
    <row r="15" spans="1:16" ht="12.75" customHeight="1" thickBot="1">
      <c r="A15" s="3" t="str">
        <f>P15</f>
        <v>OEJV 0160 </v>
      </c>
      <c r="B15" s="2" t="str">
        <f>IF(H15=INT(H15),"I","II")</f>
        <v>I</v>
      </c>
      <c r="C15" s="3">
        <f>1*G15</f>
        <v>55894.618739999998</v>
      </c>
      <c r="D15" s="4" t="str">
        <f>VLOOKUP(F15,I$1:J$5,2,FALSE)</f>
        <v>vis</v>
      </c>
      <c r="E15" s="16">
        <f>VLOOKUP(C15,Active!C$21:E$971,3,FALSE)</f>
        <v>2994.977682727847</v>
      </c>
      <c r="F15" s="2" t="s">
        <v>56</v>
      </c>
      <c r="G15" s="4" t="str">
        <f>MID(I15,3,LEN(I15)-3)</f>
        <v>55894.61874</v>
      </c>
      <c r="H15" s="3">
        <f>1*K15</f>
        <v>2995</v>
      </c>
      <c r="I15" s="17" t="s">
        <v>79</v>
      </c>
      <c r="J15" s="18" t="s">
        <v>80</v>
      </c>
      <c r="K15" s="17" t="s">
        <v>81</v>
      </c>
      <c r="L15" s="17" t="s">
        <v>82</v>
      </c>
      <c r="M15" s="18" t="s">
        <v>61</v>
      </c>
      <c r="N15" s="18" t="s">
        <v>83</v>
      </c>
      <c r="O15" s="19" t="s">
        <v>84</v>
      </c>
      <c r="P15" s="20" t="s">
        <v>85</v>
      </c>
    </row>
    <row r="16" spans="1:16">
      <c r="B16" s="2"/>
      <c r="E16" s="16"/>
      <c r="F16" s="2"/>
    </row>
    <row r="17" spans="2:6">
      <c r="B17" s="2"/>
      <c r="E17" s="16"/>
      <c r="F17" s="2"/>
    </row>
    <row r="18" spans="2:6">
      <c r="B18" s="2"/>
      <c r="E18" s="16"/>
      <c r="F18" s="2"/>
    </row>
    <row r="19" spans="2:6">
      <c r="B19" s="2"/>
      <c r="E19" s="16"/>
      <c r="F19" s="2"/>
    </row>
    <row r="20" spans="2:6">
      <c r="B20" s="2"/>
      <c r="E20" s="16"/>
      <c r="F20" s="2"/>
    </row>
    <row r="21" spans="2:6">
      <c r="B21" s="2"/>
      <c r="E21" s="16"/>
      <c r="F21" s="2"/>
    </row>
    <row r="22" spans="2:6">
      <c r="B22" s="2"/>
      <c r="F22" s="2"/>
    </row>
    <row r="23" spans="2:6">
      <c r="B23" s="2"/>
      <c r="F23" s="2"/>
    </row>
    <row r="24" spans="2:6">
      <c r="B24" s="2"/>
      <c r="F24" s="2"/>
    </row>
    <row r="25" spans="2:6">
      <c r="B25" s="2"/>
      <c r="F25" s="2"/>
    </row>
    <row r="26" spans="2:6">
      <c r="B26" s="2"/>
      <c r="F26" s="2"/>
    </row>
    <row r="27" spans="2:6">
      <c r="B27" s="2"/>
      <c r="F27" s="2"/>
    </row>
    <row r="28" spans="2:6">
      <c r="B28" s="2"/>
      <c r="F28" s="2"/>
    </row>
    <row r="29" spans="2:6">
      <c r="B29" s="2"/>
      <c r="F29" s="2"/>
    </row>
    <row r="30" spans="2:6">
      <c r="B30" s="2"/>
      <c r="F30" s="2"/>
    </row>
    <row r="31" spans="2:6">
      <c r="B31" s="2"/>
      <c r="F31" s="2"/>
    </row>
    <row r="32" spans="2:6">
      <c r="B32" s="2"/>
      <c r="F32" s="2"/>
    </row>
    <row r="33" spans="2:6">
      <c r="B33" s="2"/>
      <c r="F33" s="2"/>
    </row>
    <row r="34" spans="2:6">
      <c r="B34" s="2"/>
      <c r="F34" s="2"/>
    </row>
    <row r="35" spans="2:6">
      <c r="B35" s="2"/>
      <c r="F35" s="2"/>
    </row>
    <row r="36" spans="2:6">
      <c r="B36" s="2"/>
      <c r="F36" s="2"/>
    </row>
    <row r="37" spans="2:6">
      <c r="B37" s="2"/>
      <c r="F37" s="2"/>
    </row>
    <row r="38" spans="2:6">
      <c r="B38" s="2"/>
      <c r="F38" s="2"/>
    </row>
    <row r="39" spans="2:6">
      <c r="B39" s="2"/>
      <c r="F39" s="2"/>
    </row>
    <row r="40" spans="2:6">
      <c r="B40" s="2"/>
      <c r="F40" s="2"/>
    </row>
    <row r="41" spans="2:6">
      <c r="B41" s="2"/>
      <c r="F41" s="2"/>
    </row>
    <row r="42" spans="2:6">
      <c r="B42" s="2"/>
      <c r="F42" s="2"/>
    </row>
    <row r="43" spans="2:6">
      <c r="B43" s="2"/>
      <c r="F43" s="2"/>
    </row>
    <row r="44" spans="2:6">
      <c r="B44" s="2"/>
      <c r="F44" s="2"/>
    </row>
    <row r="45" spans="2:6">
      <c r="B45" s="2"/>
      <c r="F45" s="2"/>
    </row>
    <row r="46" spans="2:6">
      <c r="B46" s="2"/>
      <c r="F46" s="2"/>
    </row>
    <row r="47" spans="2:6">
      <c r="B47" s="2"/>
      <c r="F47" s="2"/>
    </row>
    <row r="48" spans="2:6">
      <c r="B48" s="2"/>
      <c r="F48" s="2"/>
    </row>
    <row r="49" spans="2:6">
      <c r="B49" s="2"/>
      <c r="F49" s="2"/>
    </row>
    <row r="50" spans="2:6">
      <c r="B50" s="2"/>
      <c r="F50" s="2"/>
    </row>
    <row r="51" spans="2:6">
      <c r="B51" s="2"/>
      <c r="F51" s="2"/>
    </row>
    <row r="52" spans="2:6">
      <c r="B52" s="2"/>
      <c r="F52" s="2"/>
    </row>
    <row r="53" spans="2:6">
      <c r="B53" s="2"/>
      <c r="F53" s="2"/>
    </row>
    <row r="54" spans="2:6">
      <c r="B54" s="2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</sheetData>
  <phoneticPr fontId="7" type="noConversion"/>
  <hyperlinks>
    <hyperlink ref="P11" r:id="rId1" display="http://vsolj.cetus-net.org/no46.pdf" xr:uid="{00000000-0004-0000-0100-000000000000}"/>
    <hyperlink ref="P12" r:id="rId2" display="http://www.bav-astro.de/sfs/BAVM_link.php?BAVMnr=214" xr:uid="{00000000-0004-0000-0100-000001000000}"/>
    <hyperlink ref="P13" r:id="rId3" display="http://www.bav-astro.de/sfs/BAVM_link.php?BAVMnr=215" xr:uid="{00000000-0004-0000-0100-000002000000}"/>
    <hyperlink ref="P14" r:id="rId4" display="http://www.bav-astro.de/sfs/BAVM_link.php?BAVMnr=215" xr:uid="{00000000-0004-0000-0100-000003000000}"/>
    <hyperlink ref="P15" r:id="rId5" display="http://var.astro.cz/oejv/issues/oejv0160.pdf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2025-01-08T07:15:15Z</dcterms:modified>
</cp:coreProperties>
</file>