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80D7B36-454D-4A29-9C57-42F2F4BE3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A (old)" sheetId="3" r:id="rId3"/>
  </sheets>
  <calcPr calcId="181029"/>
</workbook>
</file>

<file path=xl/calcChain.xml><?xml version="1.0" encoding="utf-8"?>
<calcChain xmlns="http://schemas.openxmlformats.org/spreadsheetml/2006/main">
  <c r="E76" i="1" l="1"/>
  <c r="F76" i="1" s="1"/>
  <c r="G76" i="1" s="1"/>
  <c r="K76" i="1" s="1"/>
  <c r="Q76" i="1"/>
  <c r="E77" i="1"/>
  <c r="F77" i="1"/>
  <c r="G77" i="1" s="1"/>
  <c r="K77" i="1" s="1"/>
  <c r="Q77" i="1"/>
  <c r="F14" i="1"/>
  <c r="E75" i="1"/>
  <c r="F75" i="1" s="1"/>
  <c r="G75" i="1" s="1"/>
  <c r="K75" i="1" s="1"/>
  <c r="Q75" i="1"/>
  <c r="E23" i="1"/>
  <c r="F23" i="1"/>
  <c r="G23" i="1" s="1"/>
  <c r="K23" i="1" s="1"/>
  <c r="C9" i="1"/>
  <c r="D9" i="1"/>
  <c r="C17" i="1"/>
  <c r="Q21" i="1"/>
  <c r="E21" i="1"/>
  <c r="F21" i="1" s="1"/>
  <c r="G21" i="1" s="1"/>
  <c r="H21" i="1" s="1"/>
  <c r="Q22" i="1"/>
  <c r="Q23" i="1"/>
  <c r="E24" i="1"/>
  <c r="F24" i="1" s="1"/>
  <c r="G24" i="1" s="1"/>
  <c r="K24" i="1" s="1"/>
  <c r="Q24" i="1"/>
  <c r="E25" i="1"/>
  <c r="F25" i="1" s="1"/>
  <c r="G25" i="1" s="1"/>
  <c r="J25" i="1" s="1"/>
  <c r="Q25" i="1"/>
  <c r="Q26" i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E15" i="2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J33" i="1" s="1"/>
  <c r="Q33" i="1"/>
  <c r="E34" i="1"/>
  <c r="F34" i="1" s="1"/>
  <c r="G34" i="1" s="1"/>
  <c r="J34" i="1" s="1"/>
  <c r="Q34" i="1"/>
  <c r="E35" i="1"/>
  <c r="F35" i="1" s="1"/>
  <c r="G35" i="1" s="1"/>
  <c r="K35" i="1" s="1"/>
  <c r="Q35" i="1"/>
  <c r="E36" i="1"/>
  <c r="E21" i="2" s="1"/>
  <c r="Q36" i="1"/>
  <c r="E37" i="1"/>
  <c r="F37" i="1" s="1"/>
  <c r="G37" i="1" s="1"/>
  <c r="K37" i="1" s="1"/>
  <c r="Q37" i="1"/>
  <c r="E38" i="1"/>
  <c r="E23" i="2" s="1"/>
  <c r="F38" i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/>
  <c r="G41" i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J47" i="1" s="1"/>
  <c r="Q47" i="1"/>
  <c r="E48" i="1"/>
  <c r="F48" i="1" s="1"/>
  <c r="G48" i="1" s="1"/>
  <c r="K48" i="1" s="1"/>
  <c r="Q48" i="1"/>
  <c r="E49" i="1"/>
  <c r="F49" i="1"/>
  <c r="G49" i="1"/>
  <c r="J49" i="1" s="1"/>
  <c r="Q49" i="1"/>
  <c r="E50" i="1"/>
  <c r="F50" i="1" s="1"/>
  <c r="G50" i="1" s="1"/>
  <c r="J50" i="1" s="1"/>
  <c r="Q50" i="1"/>
  <c r="E51" i="1"/>
  <c r="F51" i="1" s="1"/>
  <c r="G51" i="1" s="1"/>
  <c r="K51" i="1" s="1"/>
  <c r="Q51" i="1"/>
  <c r="E52" i="1"/>
  <c r="E31" i="2" s="1"/>
  <c r="Q52" i="1"/>
  <c r="E53" i="1"/>
  <c r="F53" i="1" s="1"/>
  <c r="G53" i="1" s="1"/>
  <c r="K53" i="1" s="1"/>
  <c r="Q53" i="1"/>
  <c r="E54" i="1"/>
  <c r="F54" i="1"/>
  <c r="G54" i="1" s="1"/>
  <c r="K54" i="1" s="1"/>
  <c r="Q54" i="1"/>
  <c r="E55" i="1"/>
  <c r="F55" i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J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J60" i="1" s="1"/>
  <c r="Q60" i="1"/>
  <c r="E61" i="1"/>
  <c r="F61" i="1" s="1"/>
  <c r="G61" i="1" s="1"/>
  <c r="J61" i="1" s="1"/>
  <c r="Q61" i="1"/>
  <c r="E62" i="1"/>
  <c r="E35" i="2" s="1"/>
  <c r="F62" i="1"/>
  <c r="G62" i="1" s="1"/>
  <c r="J62" i="1" s="1"/>
  <c r="Q62" i="1"/>
  <c r="E63" i="1"/>
  <c r="F63" i="1"/>
  <c r="G63" i="1" s="1"/>
  <c r="J63" i="1" s="1"/>
  <c r="Q63" i="1"/>
  <c r="E64" i="1"/>
  <c r="F64" i="1"/>
  <c r="G64" i="1" s="1"/>
  <c r="K64" i="1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J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70" i="1"/>
  <c r="F70" i="1" s="1"/>
  <c r="G70" i="1" s="1"/>
  <c r="K70" i="1" s="1"/>
  <c r="Q70" i="1"/>
  <c r="E71" i="1"/>
  <c r="F71" i="1"/>
  <c r="G71" i="1" s="1"/>
  <c r="K71" i="1" s="1"/>
  <c r="Q71" i="1"/>
  <c r="E72" i="1"/>
  <c r="F72" i="1"/>
  <c r="G72" i="1" s="1"/>
  <c r="K72" i="1" s="1"/>
  <c r="Q72" i="1"/>
  <c r="E73" i="1"/>
  <c r="F73" i="1"/>
  <c r="G73" i="1" s="1"/>
  <c r="K73" i="1" s="1"/>
  <c r="Q73" i="1"/>
  <c r="E74" i="1"/>
  <c r="F74" i="1" s="1"/>
  <c r="G74" i="1" s="1"/>
  <c r="K74" i="1" s="1"/>
  <c r="Q74" i="1"/>
  <c r="C7" i="3"/>
  <c r="C8" i="3"/>
  <c r="E22" i="3"/>
  <c r="F22" i="3"/>
  <c r="G22" i="3"/>
  <c r="I22" i="3"/>
  <c r="F11" i="3"/>
  <c r="G11" i="3"/>
  <c r="E14" i="3"/>
  <c r="E15" i="3" s="1"/>
  <c r="C17" i="3"/>
  <c r="C21" i="3"/>
  <c r="E21" i="3"/>
  <c r="G21" i="3"/>
  <c r="H21" i="3"/>
  <c r="Q21" i="3"/>
  <c r="Q22" i="3"/>
  <c r="E23" i="3"/>
  <c r="F23" i="3"/>
  <c r="G23" i="3"/>
  <c r="I23" i="3"/>
  <c r="Q23" i="3"/>
  <c r="E24" i="3"/>
  <c r="F24" i="3"/>
  <c r="G24" i="3"/>
  <c r="J24" i="3"/>
  <c r="Q24" i="3"/>
  <c r="Q25" i="3"/>
  <c r="E26" i="3"/>
  <c r="F26" i="3"/>
  <c r="Q26" i="3"/>
  <c r="Q27" i="3"/>
  <c r="E28" i="3"/>
  <c r="F28" i="3"/>
  <c r="Q28" i="3"/>
  <c r="Q29" i="3"/>
  <c r="Q30" i="3"/>
  <c r="E31" i="3"/>
  <c r="F31" i="3"/>
  <c r="Q31" i="3"/>
  <c r="E32" i="3"/>
  <c r="F32" i="3"/>
  <c r="Q32" i="3"/>
  <c r="E33" i="3"/>
  <c r="F33" i="3"/>
  <c r="Q33" i="3"/>
  <c r="E34" i="3"/>
  <c r="F34" i="3"/>
  <c r="Q34" i="3"/>
  <c r="E35" i="3"/>
  <c r="F35" i="3"/>
  <c r="Q35" i="3"/>
  <c r="E36" i="3"/>
  <c r="F36" i="3"/>
  <c r="Q36" i="3"/>
  <c r="E37" i="3"/>
  <c r="F37" i="3"/>
  <c r="G37" i="3"/>
  <c r="I37" i="3"/>
  <c r="Q37" i="3"/>
  <c r="E38" i="3"/>
  <c r="F38" i="3"/>
  <c r="G38" i="3"/>
  <c r="I38" i="3"/>
  <c r="Q38" i="3"/>
  <c r="E39" i="3"/>
  <c r="F39" i="3"/>
  <c r="G39" i="3"/>
  <c r="I39" i="3"/>
  <c r="Q39" i="3"/>
  <c r="E40" i="3"/>
  <c r="F40" i="3"/>
  <c r="G40" i="3"/>
  <c r="I40" i="3"/>
  <c r="Q40" i="3"/>
  <c r="A11" i="2"/>
  <c r="B11" i="2"/>
  <c r="D11" i="2"/>
  <c r="G11" i="2"/>
  <c r="C11" i="2"/>
  <c r="E11" i="2"/>
  <c r="H11" i="2"/>
  <c r="A12" i="2"/>
  <c r="B12" i="2"/>
  <c r="C12" i="2"/>
  <c r="D12" i="2"/>
  <c r="G12" i="2"/>
  <c r="H12" i="2"/>
  <c r="A13" i="2"/>
  <c r="C13" i="2"/>
  <c r="D13" i="2"/>
  <c r="G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C18" i="2"/>
  <c r="E18" i="2"/>
  <c r="D18" i="2"/>
  <c r="G18" i="2"/>
  <c r="H18" i="2"/>
  <c r="A19" i="2"/>
  <c r="B19" i="2"/>
  <c r="C19" i="2"/>
  <c r="E19" i="2"/>
  <c r="D19" i="2"/>
  <c r="G19" i="2"/>
  <c r="H19" i="2"/>
  <c r="A20" i="2"/>
  <c r="B20" i="2"/>
  <c r="C20" i="2"/>
  <c r="D20" i="2"/>
  <c r="G20" i="2"/>
  <c r="H20" i="2"/>
  <c r="A21" i="2"/>
  <c r="C21" i="2"/>
  <c r="D21" i="2"/>
  <c r="G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H23" i="2"/>
  <c r="B23" i="2"/>
  <c r="A24" i="2"/>
  <c r="D24" i="2"/>
  <c r="G24" i="2"/>
  <c r="C24" i="2"/>
  <c r="H24" i="2"/>
  <c r="B24" i="2"/>
  <c r="A25" i="2"/>
  <c r="C25" i="2"/>
  <c r="E25" i="2"/>
  <c r="D25" i="2"/>
  <c r="G25" i="2"/>
  <c r="H25" i="2"/>
  <c r="B25" i="2"/>
  <c r="A26" i="2"/>
  <c r="B26" i="2"/>
  <c r="C26" i="2"/>
  <c r="E26" i="2"/>
  <c r="D26" i="2"/>
  <c r="G26" i="2"/>
  <c r="H26" i="2"/>
  <c r="A27" i="2"/>
  <c r="B27" i="2"/>
  <c r="C27" i="2"/>
  <c r="D27" i="2"/>
  <c r="G27" i="2"/>
  <c r="H27" i="2"/>
  <c r="A28" i="2"/>
  <c r="B28" i="2"/>
  <c r="C28" i="2"/>
  <c r="E28" i="2"/>
  <c r="D28" i="2"/>
  <c r="G28" i="2"/>
  <c r="H28" i="2"/>
  <c r="A29" i="2"/>
  <c r="C29" i="2"/>
  <c r="E29" i="2"/>
  <c r="D29" i="2"/>
  <c r="G29" i="2"/>
  <c r="H29" i="2"/>
  <c r="B29" i="2"/>
  <c r="A30" i="2"/>
  <c r="D30" i="2"/>
  <c r="G30" i="2"/>
  <c r="C30" i="2"/>
  <c r="H30" i="2"/>
  <c r="B30" i="2"/>
  <c r="A31" i="2"/>
  <c r="D31" i="2"/>
  <c r="G31" i="2"/>
  <c r="C31" i="2"/>
  <c r="H31" i="2"/>
  <c r="B31" i="2"/>
  <c r="A32" i="2"/>
  <c r="D32" i="2"/>
  <c r="G32" i="2"/>
  <c r="C32" i="2"/>
  <c r="E32" i="2"/>
  <c r="H32" i="2"/>
  <c r="B32" i="2"/>
  <c r="A33" i="2"/>
  <c r="C33" i="2"/>
  <c r="D33" i="2"/>
  <c r="G33" i="2"/>
  <c r="H33" i="2"/>
  <c r="B33" i="2"/>
  <c r="A34" i="2"/>
  <c r="B34" i="2"/>
  <c r="C34" i="2"/>
  <c r="E34" i="2"/>
  <c r="D34" i="2"/>
  <c r="G34" i="2"/>
  <c r="H34" i="2"/>
  <c r="A35" i="2"/>
  <c r="B35" i="2"/>
  <c r="C35" i="2"/>
  <c r="D35" i="2"/>
  <c r="G35" i="2"/>
  <c r="H35" i="2"/>
  <c r="A36" i="2"/>
  <c r="B36" i="2"/>
  <c r="C36" i="2"/>
  <c r="E36" i="2"/>
  <c r="D36" i="2"/>
  <c r="G36" i="2"/>
  <c r="H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D40" i="2"/>
  <c r="G40" i="2"/>
  <c r="C40" i="2"/>
  <c r="E40" i="2"/>
  <c r="H40" i="2"/>
  <c r="B40" i="2"/>
  <c r="A41" i="2"/>
  <c r="C41" i="2"/>
  <c r="E41" i="2"/>
  <c r="D41" i="2"/>
  <c r="G41" i="2"/>
  <c r="H41" i="2"/>
  <c r="B41" i="2"/>
  <c r="A42" i="2"/>
  <c r="B42" i="2"/>
  <c r="C42" i="2"/>
  <c r="E42" i="2"/>
  <c r="D42" i="2"/>
  <c r="G42" i="2"/>
  <c r="H42" i="2"/>
  <c r="A43" i="2"/>
  <c r="B43" i="2"/>
  <c r="C43" i="2"/>
  <c r="D43" i="2"/>
  <c r="G43" i="2"/>
  <c r="H43" i="2"/>
  <c r="A44" i="2"/>
  <c r="B44" i="2"/>
  <c r="C44" i="2"/>
  <c r="E44" i="2"/>
  <c r="D44" i="2"/>
  <c r="G44" i="2"/>
  <c r="H44" i="2"/>
  <c r="A45" i="2"/>
  <c r="D45" i="2"/>
  <c r="G45" i="2"/>
  <c r="C45" i="2"/>
  <c r="H45" i="2"/>
  <c r="B45" i="2"/>
  <c r="A46" i="2"/>
  <c r="D46" i="2"/>
  <c r="G46" i="2"/>
  <c r="C46" i="2"/>
  <c r="E46" i="2"/>
  <c r="H46" i="2"/>
  <c r="B46" i="2"/>
  <c r="A47" i="2"/>
  <c r="D47" i="2"/>
  <c r="G47" i="2"/>
  <c r="C47" i="2"/>
  <c r="H47" i="2"/>
  <c r="B47" i="2"/>
  <c r="A48" i="2"/>
  <c r="D48" i="2"/>
  <c r="G48" i="2"/>
  <c r="C48" i="2"/>
  <c r="E48" i="2"/>
  <c r="H48" i="2"/>
  <c r="B48" i="2"/>
  <c r="A49" i="2"/>
  <c r="B49" i="2"/>
  <c r="C49" i="2"/>
  <c r="D49" i="2"/>
  <c r="G49" i="2"/>
  <c r="H49" i="2"/>
  <c r="E39" i="2"/>
  <c r="E37" i="2"/>
  <c r="E38" i="2"/>
  <c r="E26" i="1"/>
  <c r="F26" i="1" s="1"/>
  <c r="G26" i="1" s="1"/>
  <c r="K26" i="1" s="1"/>
  <c r="E22" i="1"/>
  <c r="F22" i="1"/>
  <c r="G22" i="1" s="1"/>
  <c r="K22" i="1" s="1"/>
  <c r="E27" i="1"/>
  <c r="F27" i="1"/>
  <c r="G27" i="1" s="1"/>
  <c r="K27" i="1" s="1"/>
  <c r="E29" i="3"/>
  <c r="F29" i="3"/>
  <c r="G29" i="3"/>
  <c r="I29" i="3"/>
  <c r="E27" i="3"/>
  <c r="F27" i="3"/>
  <c r="E25" i="3"/>
  <c r="F25" i="3"/>
  <c r="E30" i="3"/>
  <c r="F30" i="3"/>
  <c r="G30" i="3"/>
  <c r="I30" i="3"/>
  <c r="C12" i="3"/>
  <c r="C11" i="3"/>
  <c r="E45" i="2" l="1"/>
  <c r="E27" i="2"/>
  <c r="E33" i="2"/>
  <c r="E47" i="2"/>
  <c r="E24" i="2"/>
  <c r="F30" i="1"/>
  <c r="G30" i="1" s="1"/>
  <c r="K30" i="1" s="1"/>
  <c r="E13" i="2"/>
  <c r="F52" i="1"/>
  <c r="G52" i="1" s="1"/>
  <c r="K52" i="1" s="1"/>
  <c r="F36" i="1"/>
  <c r="G36" i="1" s="1"/>
  <c r="E12" i="2"/>
  <c r="E49" i="2"/>
  <c r="E20" i="2"/>
  <c r="E30" i="2"/>
  <c r="E43" i="2"/>
  <c r="F15" i="1"/>
  <c r="C16" i="3"/>
  <c r="D18" i="3" s="1"/>
  <c r="O35" i="3"/>
  <c r="O30" i="3"/>
  <c r="O24" i="3"/>
  <c r="O28" i="3"/>
  <c r="O22" i="3"/>
  <c r="O29" i="3"/>
  <c r="O38" i="3"/>
  <c r="O32" i="3"/>
  <c r="O36" i="3"/>
  <c r="O31" i="3"/>
  <c r="C15" i="3"/>
  <c r="O34" i="3"/>
  <c r="O23" i="3"/>
  <c r="O21" i="3"/>
  <c r="O26" i="3"/>
  <c r="O37" i="3"/>
  <c r="O40" i="3"/>
  <c r="O25" i="3"/>
  <c r="O33" i="3"/>
  <c r="O27" i="3"/>
  <c r="O39" i="3"/>
  <c r="C11" i="1"/>
  <c r="C12" i="1"/>
  <c r="O77" i="1" l="1"/>
  <c r="O76" i="1"/>
  <c r="C16" i="1"/>
  <c r="D18" i="1" s="1"/>
  <c r="O22" i="1"/>
  <c r="O38" i="1"/>
  <c r="O34" i="1"/>
  <c r="O45" i="1"/>
  <c r="O35" i="1"/>
  <c r="O44" i="1"/>
  <c r="O47" i="1"/>
  <c r="O36" i="1"/>
  <c r="O40" i="1"/>
  <c r="O75" i="1"/>
  <c r="O26" i="1"/>
  <c r="O74" i="1"/>
  <c r="O70" i="1"/>
  <c r="O28" i="1"/>
  <c r="O51" i="1"/>
  <c r="O23" i="1"/>
  <c r="C15" i="1"/>
  <c r="O32" i="1"/>
  <c r="O64" i="1"/>
  <c r="O52" i="1"/>
  <c r="O31" i="1"/>
  <c r="O67" i="1"/>
  <c r="O21" i="1"/>
  <c r="O33" i="1"/>
  <c r="O57" i="1"/>
  <c r="O59" i="1"/>
  <c r="O53" i="1"/>
  <c r="O49" i="1"/>
  <c r="O25" i="1"/>
  <c r="O41" i="1"/>
  <c r="O71" i="1"/>
  <c r="O48" i="1"/>
  <c r="O65" i="1"/>
  <c r="O68" i="1"/>
  <c r="O54" i="1"/>
  <c r="O55" i="1"/>
  <c r="O30" i="1"/>
  <c r="O56" i="1"/>
  <c r="O69" i="1"/>
  <c r="O66" i="1"/>
  <c r="O58" i="1"/>
  <c r="O27" i="1"/>
  <c r="O24" i="1"/>
  <c r="O50" i="1"/>
  <c r="O63" i="1"/>
  <c r="O60" i="1"/>
  <c r="O39" i="1"/>
  <c r="O46" i="1"/>
  <c r="O62" i="1"/>
  <c r="O72" i="1"/>
  <c r="O37" i="1"/>
  <c r="O42" i="1"/>
  <c r="O73" i="1"/>
  <c r="O61" i="1"/>
  <c r="O29" i="1"/>
  <c r="O43" i="1"/>
  <c r="K36" i="1"/>
  <c r="E16" i="3"/>
  <c r="E17" i="3" s="1"/>
  <c r="C18" i="3"/>
  <c r="F16" i="1" l="1"/>
  <c r="F17" i="1" s="1"/>
  <c r="C18" i="1"/>
  <c r="F18" i="1"/>
</calcChain>
</file>

<file path=xl/sharedStrings.xml><?xml version="1.0" encoding="utf-8"?>
<sst xmlns="http://schemas.openxmlformats.org/spreadsheetml/2006/main" count="605" uniqueCount="276">
  <si>
    <t>BS UMa / GSC 03015-01285</t>
  </si>
  <si>
    <t>System Type:</t>
  </si>
  <si>
    <t>EA</t>
  </si>
  <si>
    <t>A highly active Low-Mass EB -- See IBVS 5940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</si>
  <si>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</si>
  <si>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</si>
  <si>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</si>
  <si>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</si>
  <si>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</si>
  <si>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</si>
  <si>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</si>
  <si>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</si>
  <si>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</si>
  <si>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</si>
  <si>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</si>
  <si>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</si>
  <si>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</si>
  <si>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</si>
  <si>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</si>
  <si>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</si>
  <si>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</si>
  <si>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</si>
  <si>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</si>
  <si>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</si>
  <si>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</si>
  <si>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</si>
  <si>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</si>
  <si>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</si>
  <si>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</si>
  <si>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</si>
  <si>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</si>
  <si>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</si>
  <si>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</si>
  <si>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</si>
  <si>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</si>
  <si>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</si>
  <si>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</si>
  <si>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</si>
  <si>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</si>
  <si>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</si>
  <si>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</si>
  <si>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</si>
  <si>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</si>
  <si>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</si>
  <si>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GCVS 4</t>
  </si>
  <si>
    <t> BBS 120 </t>
  </si>
  <si>
    <t>I</t>
  </si>
  <si>
    <t> BBS 125 </t>
  </si>
  <si>
    <t>IBVS 5603</t>
  </si>
  <si>
    <t>IBVS 5657</t>
  </si>
  <si>
    <t>IBVS 5760</t>
  </si>
  <si>
    <t>VSB 48 </t>
  </si>
  <si>
    <t>IBVS 5894</t>
  </si>
  <si>
    <t>II</t>
  </si>
  <si>
    <t>IBVS 5933</t>
  </si>
  <si>
    <t>IBVS 5918</t>
  </si>
  <si>
    <t>IBVS 5945</t>
  </si>
  <si>
    <t>IBVS 5940</t>
  </si>
  <si>
    <t>IBVS 5959</t>
  </si>
  <si>
    <t>IBVS 5992</t>
  </si>
  <si>
    <t>IBVS 6010</t>
  </si>
  <si>
    <t>IBVS 6029</t>
  </si>
  <si>
    <t>IBVS 6230</t>
  </si>
  <si>
    <t>IBVS 6092</t>
  </si>
  <si>
    <t>IBVS 6157</t>
  </si>
  <si>
    <t> JAAVSO 42;426 </t>
  </si>
  <si>
    <t>JAVSO..42..426</t>
  </si>
  <si>
    <t>IBVS 6149</t>
  </si>
  <si>
    <t>IBVS 6196</t>
  </si>
  <si>
    <t>IBVS 6244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</si>
  <si>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</si>
  <si>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</si>
  <si>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</si>
  <si>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</si>
  <si>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</si>
  <si>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</si>
  <si>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</si>
  <si>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</si>
  <si>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2453134.7083 </t>
  </si>
  <si>
    <t> 09.05.2004 04:59 </t>
  </si>
  <si>
    <t> -0.0187 </t>
  </si>
  <si>
    <t>E </t>
  </si>
  <si>
    <t>?</t>
  </si>
  <si>
    <t> S.Dvorak </t>
  </si>
  <si>
    <t>IBVS 5603 </t>
  </si>
  <si>
    <t>2453451.5355 </t>
  </si>
  <si>
    <t> 22.03.2005 00:51 </t>
  </si>
  <si>
    <t> -0.0281 </t>
  </si>
  <si>
    <t>-I</t>
  </si>
  <si>
    <t> F.Agerer </t>
  </si>
  <si>
    <t>BAVM 173 </t>
  </si>
  <si>
    <t>2453821.6682 </t>
  </si>
  <si>
    <t> 27.03.2006 04:02 </t>
  </si>
  <si>
    <t>37697</t>
  </si>
  <si>
    <t> -0.0480 </t>
  </si>
  <si>
    <t>C </t>
  </si>
  <si>
    <t>R</t>
  </si>
  <si>
    <t> R.Nelson </t>
  </si>
  <si>
    <t>IBVS 5760 </t>
  </si>
  <si>
    <t>2454862.861 </t>
  </si>
  <si>
    <t> 31.01.2009 08:39 </t>
  </si>
  <si>
    <t>40079</t>
  </si>
  <si>
    <t> 0.173 </t>
  </si>
  <si>
    <t> R.Diethelm </t>
  </si>
  <si>
    <t>IBVS 5894 </t>
  </si>
  <si>
    <t>2454890.6479 </t>
  </si>
  <si>
    <t> 28.02.2009 03:32 </t>
  </si>
  <si>
    <t>40142.5</t>
  </si>
  <si>
    <t> 0.2091 </t>
  </si>
  <si>
    <t>2454890.8199 </t>
  </si>
  <si>
    <t> 28.02.2009 07:40 </t>
  </si>
  <si>
    <t>40143</t>
  </si>
  <si>
    <t> 0.1626 </t>
  </si>
  <si>
    <t>2454923.5014 </t>
  </si>
  <si>
    <t> 02.04.2009 00:02 </t>
  </si>
  <si>
    <t>40218</t>
  </si>
  <si>
    <t> 0.0679 </t>
  </si>
  <si>
    <t> Lampens &amp; van Cauteren </t>
  </si>
  <si>
    <t>IBVS 5933 </t>
  </si>
  <si>
    <t>2454931.3651 </t>
  </si>
  <si>
    <t> 09.04.2009 20:45 </t>
  </si>
  <si>
    <t>40236</t>
  </si>
  <si>
    <t> 0.0653 </t>
  </si>
  <si>
    <t>BAVM 209 </t>
  </si>
  <si>
    <t>2454931.5403 </t>
  </si>
  <si>
    <t> 10.04.2009 00:58 </t>
  </si>
  <si>
    <t> 0.2405 </t>
  </si>
  <si>
    <t>2454942.3756 </t>
  </si>
  <si>
    <t> 20.04.2009 21:00 </t>
  </si>
  <si>
    <t>40261</t>
  </si>
  <si>
    <t> 0.1504 </t>
  </si>
  <si>
    <t>2454942.5480 </t>
  </si>
  <si>
    <t> 21.04.2009 01:09 </t>
  </si>
  <si>
    <t> 0.3228 </t>
  </si>
  <si>
    <t>2454943.4230 </t>
  </si>
  <si>
    <t> 21.04.2009 22:09 </t>
  </si>
  <si>
    <t>40263</t>
  </si>
  <si>
    <t> 0.3238 </t>
  </si>
  <si>
    <t>2454943.5971 </t>
  </si>
  <si>
    <t> 22.04.2009 02:19 </t>
  </si>
  <si>
    <t>40263.5</t>
  </si>
  <si>
    <t> 0.2794 </t>
  </si>
  <si>
    <t>2454944.4722 </t>
  </si>
  <si>
    <t> 22.04.2009 23:19 </t>
  </si>
  <si>
    <t>40265.5</t>
  </si>
  <si>
    <t> 0.2805 </t>
  </si>
  <si>
    <t>2455277.9023 </t>
  </si>
  <si>
    <t> 22.03.2010 09:39 </t>
  </si>
  <si>
    <t>41028.5</t>
  </si>
  <si>
    <t> 0.2673 </t>
  </si>
  <si>
    <t>IBVS 5945 </t>
  </si>
  <si>
    <t>2455311.4543 </t>
  </si>
  <si>
    <t> 24.04.2010 22:54 </t>
  </si>
  <si>
    <t>41105</t>
  </si>
  <si>
    <t> 0.3876 </t>
  </si>
  <si>
    <t>BAVM 214 </t>
  </si>
  <si>
    <t>2455615.8821 </t>
  </si>
  <si>
    <t> 23.02.2011 09:10 </t>
  </si>
  <si>
    <t>41801.5</t>
  </si>
  <si>
    <t> 0.4338 </t>
  </si>
  <si>
    <t>IBVS 5992 </t>
  </si>
  <si>
    <t>2455660.4441 </t>
  </si>
  <si>
    <t> 08.04.2011 22:39 </t>
  </si>
  <si>
    <t>41903.5</t>
  </si>
  <si>
    <t> 0.4201 </t>
  </si>
  <si>
    <t>BAVM 220 </t>
  </si>
  <si>
    <t>2455660.6193 </t>
  </si>
  <si>
    <t> 09.04.2011 02:51 </t>
  </si>
  <si>
    <t>41904</t>
  </si>
  <si>
    <t> 0.3768 </t>
  </si>
  <si>
    <t>2455968.8859 </t>
  </si>
  <si>
    <t> 11.02.2012 09:15 </t>
  </si>
  <si>
    <t>42609.5</t>
  </si>
  <si>
    <t> 0.3286 </t>
  </si>
  <si>
    <t>IBVS 6029 </t>
  </si>
  <si>
    <t>2456036.6896 </t>
  </si>
  <si>
    <t> 19.04.2012 04:33 </t>
  </si>
  <si>
    <t>42764.5</t>
  </si>
  <si>
    <t> 0.3949 </t>
  </si>
  <si>
    <t>2456359.8145 </t>
  </si>
  <si>
    <t> 08.03.2013 07:32 </t>
  </si>
  <si>
    <t>43504</t>
  </si>
  <si>
    <t> 0.3464 </t>
  </si>
  <si>
    <t>IBVS 6092 </t>
  </si>
  <si>
    <t>2456730.4683 </t>
  </si>
  <si>
    <t> 13.03.2014 23:14 </t>
  </si>
  <si>
    <t>44352</t>
  </si>
  <si>
    <t> 0.4107 </t>
  </si>
  <si>
    <t>BAVM 238 </t>
  </si>
  <si>
    <t>2456730.6435 </t>
  </si>
  <si>
    <t> 14.03.2014 03:26 </t>
  </si>
  <si>
    <t>44352.5</t>
  </si>
  <si>
    <t> 0.3674 </t>
  </si>
  <si>
    <t>2456737.4584 </t>
  </si>
  <si>
    <t> 20.03.2014 23:00 </t>
  </si>
  <si>
    <t>44368</t>
  </si>
  <si>
    <t> 0.4085 </t>
  </si>
  <si>
    <t>2456737.6354 </t>
  </si>
  <si>
    <t> 21.03.2014 03:14 </t>
  </si>
  <si>
    <t>44368.5</t>
  </si>
  <si>
    <t> 0.3670 </t>
  </si>
  <si>
    <t>2451305.376 </t>
  </si>
  <si>
    <t> 06.05.1999 21:01 </t>
  </si>
  <si>
    <t> -0.002 </t>
  </si>
  <si>
    <t>2451974.519 </t>
  </si>
  <si>
    <t> 06.03.2001 00:27 </t>
  </si>
  <si>
    <t> 0.069 </t>
  </si>
  <si>
    <t>2454529.2537 </t>
  </si>
  <si>
    <t> 03.03.2008 18:05 </t>
  </si>
  <si>
    <t>39316</t>
  </si>
  <si>
    <t> 0.0086 </t>
  </si>
  <si>
    <t>Ic</t>
  </si>
  <si>
    <t> K.Nakajima </t>
  </si>
  <si>
    <t>2454562.9812 </t>
  </si>
  <si>
    <t> 06.04.2008 11:32 </t>
  </si>
  <si>
    <t>39393</t>
  </si>
  <si>
    <t> 0.0859 </t>
  </si>
  <si>
    <t>2455292.4086 </t>
  </si>
  <si>
    <t> 05.04.2010 21:48 </t>
  </si>
  <si>
    <t>41061.5</t>
  </si>
  <si>
    <t> 0.3521 </t>
  </si>
  <si>
    <t>B;V</t>
  </si>
  <si>
    <t> P.Wils et al. </t>
  </si>
  <si>
    <t>IBVS 5940 </t>
  </si>
  <si>
    <t>2455292.5810 </t>
  </si>
  <si>
    <t> 06.04.2010 01:56 </t>
  </si>
  <si>
    <t>41062</t>
  </si>
  <si>
    <t> 0.3060 </t>
  </si>
  <si>
    <t>2455293.4569 </t>
  </si>
  <si>
    <t> 06.04.2010 22:57 </t>
  </si>
  <si>
    <t>41064</t>
  </si>
  <si>
    <t> 0.3079 </t>
  </si>
  <si>
    <t>2455303.4158 </t>
  </si>
  <si>
    <t> 16.04.2010 21:58 </t>
  </si>
  <si>
    <t>41087</t>
  </si>
  <si>
    <t> 0.2154 </t>
  </si>
  <si>
    <t>2455305.3399 </t>
  </si>
  <si>
    <t> 18.04.2010 20:09 </t>
  </si>
  <si>
    <t>41091</t>
  </si>
  <si>
    <t> 0.3914 </t>
  </si>
  <si>
    <t>2455305.5130 </t>
  </si>
  <si>
    <t> 19.04.2010 00:18 </t>
  </si>
  <si>
    <t>41091.5</t>
  </si>
  <si>
    <t> 0.3460 </t>
  </si>
  <si>
    <t>2456397.3861 </t>
  </si>
  <si>
    <t> 14.04.2013 21:15 </t>
  </si>
  <si>
    <t>43590</t>
  </si>
  <si>
    <t> 0.3347 </t>
  </si>
  <si>
    <t> M.&amp; K.Rätz </t>
  </si>
  <si>
    <t>BAVM 241 (=IBVS 6157) </t>
  </si>
  <si>
    <t>2456409.2697 </t>
  </si>
  <si>
    <t> 26.04.2013 18:28 </t>
  </si>
  <si>
    <t>43617</t>
  </si>
  <si>
    <t> 0.4188 </t>
  </si>
  <si>
    <t> Y.Ogmen </t>
  </si>
  <si>
    <t>2456746.5445 </t>
  </si>
  <si>
    <t> 30.03.2014 01:04 </t>
  </si>
  <si>
    <t>44389</t>
  </si>
  <si>
    <t> 0.3173 </t>
  </si>
  <si>
    <t>o</t>
  </si>
  <si>
    <t>Local time</t>
  </si>
  <si>
    <t>IBVS</t>
  </si>
  <si>
    <t>Nelson</t>
  </si>
  <si>
    <t>S4</t>
  </si>
  <si>
    <t>.0006</t>
  </si>
  <si>
    <t>.0003</t>
  </si>
  <si>
    <t>.0015</t>
  </si>
  <si>
    <t>.0008</t>
  </si>
  <si>
    <t>JAAVSO, 50, 255</t>
  </si>
  <si>
    <t>JBAV 96</t>
  </si>
  <si>
    <t xml:space="preserve">Mag </t>
  </si>
  <si>
    <t>Next ToM-P</t>
  </si>
  <si>
    <t>Next ToM-S</t>
  </si>
  <si>
    <t>12.00-12.60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</si>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</sst>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/d/yyyy"/>
    <numFmt numFmtId="167" formatCode="mm/dd/yy\ hh:mm\ AM/PM"/>
    <numFmt numFmtId="168" formatCode="d/mm/yyyy;@"/>
    <numFmt numFmtId="169" formatCode="0.00000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>
      <alignment vertical="top"/>
    </xf>
    <xf numFmtId="3" fontId="15" fillId="0" borderId="0" applyFill="0" applyBorder="0" applyProtection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5" fillId="0" borderId="0"/>
    <xf numFmtId="0" fontId="15" fillId="0" borderId="0"/>
    <xf numFmtId="0" fontId="15" fillId="0" borderId="0"/>
  </cellStyleXfs>
  <cellXfs count="9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2" applyFont="1" applyAlignment="1">
      <alignment horizontal="left" vertical="center" wrapText="1"/>
    </xf>
    <xf numFmtId="0" fontId="10" fillId="0" borderId="0" xfId="12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wrapText="1"/>
    </xf>
    <xf numFmtId="0" fontId="8" fillId="0" borderId="0" xfId="10" applyFont="1" applyAlignment="1">
      <alignment wrapText="1"/>
    </xf>
    <xf numFmtId="0" fontId="8" fillId="0" borderId="0" xfId="10" applyFont="1" applyAlignment="1">
      <alignment horizontal="center" wrapText="1"/>
    </xf>
    <xf numFmtId="0" fontId="8" fillId="0" borderId="0" xfId="10" applyFont="1" applyAlignment="1">
      <alignment horizontal="left" wrapText="1"/>
    </xf>
    <xf numFmtId="0" fontId="12" fillId="0" borderId="0" xfId="12" applyFont="1" applyAlignment="1">
      <alignment horizontal="left"/>
    </xf>
    <xf numFmtId="0" fontId="12" fillId="0" borderId="0" xfId="12" applyFont="1" applyAlignment="1">
      <alignment horizontal="center" wrapText="1"/>
    </xf>
    <xf numFmtId="0" fontId="12" fillId="0" borderId="0" xfId="12" applyFont="1" applyAlignment="1">
      <alignment horizontal="left" wrapText="1"/>
    </xf>
    <xf numFmtId="0" fontId="12" fillId="0" borderId="0" xfId="11" applyFont="1"/>
    <xf numFmtId="0" fontId="12" fillId="0" borderId="0" xfId="11" applyFont="1" applyAlignment="1">
      <alignment horizontal="center"/>
    </xf>
    <xf numFmtId="0" fontId="12" fillId="0" borderId="0" xfId="11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4" fillId="0" borderId="0" xfId="9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8" fillId="2" borderId="10" xfId="0" applyFont="1" applyFill="1" applyBorder="1" applyAlignment="1">
      <alignment horizontal="left" vertical="top" wrapText="1" indent="1"/>
    </xf>
    <xf numFmtId="0" fontId="8" fillId="2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right" vertical="top" wrapText="1"/>
    </xf>
    <xf numFmtId="0" fontId="14" fillId="2" borderId="10" xfId="9" applyNumberFormat="1" applyFill="1" applyBorder="1" applyAlignment="1" applyProtection="1">
      <alignment horizontal="right" vertical="top" wrapText="1"/>
    </xf>
    <xf numFmtId="167" fontId="6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3" borderId="0" xfId="0" applyFont="1" applyFill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8" fontId="0" fillId="0" borderId="0" xfId="0" applyNumberFormat="1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9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>
      <alignment vertical="top"/>
    </xf>
    <xf numFmtId="0" fontId="5" fillId="0" borderId="14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0" fontId="0" fillId="4" borderId="12" xfId="0" applyFont="1" applyFill="1" applyBorder="1" applyAlignment="1">
      <alignment horizontal="right" vertical="center"/>
    </xf>
    <xf numFmtId="0" fontId="0" fillId="4" borderId="13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right" vertical="center"/>
    </xf>
    <xf numFmtId="22" fontId="17" fillId="0" borderId="15" xfId="0" applyNumberFormat="1" applyFont="1" applyBorder="1" applyAlignment="1">
      <alignment horizontal="right" vertical="center"/>
    </xf>
    <xf numFmtId="22" fontId="17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3">
    <cellStyle name="Comma0" xfId="1" xr:uid="{00000000-0005-0000-0000-000000000000}"/>
    <cellStyle name="Comma0 2" xfId="2" xr:uid="{00000000-0005-0000-0000-000001000000}"/>
    <cellStyle name="Currency0" xfId="3" xr:uid="{00000000-0005-0000-0000-000002000000}"/>
    <cellStyle name="Currency0 2" xfId="4" xr:uid="{00000000-0005-0000-0000-000003000000}"/>
    <cellStyle name="Date" xfId="5" xr:uid="{00000000-0005-0000-0000-000004000000}"/>
    <cellStyle name="Date 2" xfId="6" xr:uid="{00000000-0005-0000-0000-000005000000}"/>
    <cellStyle name="Fixed" xfId="7" xr:uid="{00000000-0005-0000-0000-000006000000}"/>
    <cellStyle name="Fixed 2" xfId="8" xr:uid="{00000000-0005-0000-0000-000007000000}"/>
    <cellStyle name="Hyperlink" xfId="9" builtinId="8"/>
    <cellStyle name="Normal" xfId="0" builtinId="0"/>
    <cellStyle name="Normal 2" xfId="10" xr:uid="{00000000-0005-0000-0000-00000A000000}"/>
    <cellStyle name="Normal_A" xfId="11" xr:uid="{00000000-0005-0000-0000-00000B000000}"/>
    <cellStyle name="Normal_A_1" xfId="12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UMa - O-C Diagr.</a:t>
            </a:r>
          </a:p>
        </c:rich>
      </c:tx>
      <c:layout>
        <c:manualLayout>
          <c:xMode val="edge"/>
          <c:yMode val="edge"/>
          <c:x val="0.3606563114036974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80205566508085"/>
          <c:y val="0.10640797198442162"/>
          <c:w val="0.81655471476859998"/>
          <c:h val="0.6685920767711095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Active!$H$21:$H$740</c:f>
              <c:numCache>
                <c:formatCode>General</c:formatCode>
                <c:ptCount val="720"/>
                <c:pt idx="0">
                  <c:v>1.2729649970424362E-3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F4-4694-B9F6-EE56EA56C9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Active!$I$21:$I$740</c:f>
              <c:numCache>
                <c:formatCode>General</c:formatCode>
                <c:ptCount val="7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F4-4694-B9F6-EE56EA56C92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Active!$J$21:$J$740</c:f>
              <c:numCache>
                <c:formatCode>General</c:formatCode>
                <c:ptCount val="720"/>
                <c:pt idx="4">
                  <c:v>-3.9971549995243549E-3</c:v>
                </c:pt>
                <c:pt idx="12">
                  <c:v>8.1326500367140397E-4</c:v>
                </c:pt>
                <c:pt idx="13">
                  <c:v>1.2583299976540729E-3</c:v>
                </c:pt>
                <c:pt idx="26">
                  <c:v>-1.9703600046341307E-3</c:v>
                </c:pt>
                <c:pt idx="28">
                  <c:v>2.2244450010475703E-3</c:v>
                </c:pt>
                <c:pt idx="29">
                  <c:v>2.6695099950302392E-3</c:v>
                </c:pt>
                <c:pt idx="36">
                  <c:v>2.6635500034899451E-3</c:v>
                </c:pt>
                <c:pt idx="39">
                  <c:v>1.9574399993871339E-3</c:v>
                </c:pt>
                <c:pt idx="40">
                  <c:v>2.4025050006457604E-3</c:v>
                </c:pt>
                <c:pt idx="41">
                  <c:v>1.8600399998831563E-3</c:v>
                </c:pt>
                <c:pt idx="42">
                  <c:v>4.1051049993257038E-3</c:v>
                </c:pt>
                <c:pt idx="46">
                  <c:v>7.0342000253731385E-4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F4-4694-B9F6-EE56EA56C92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Active!$K$21:$K$740</c:f>
              <c:numCache>
                <c:formatCode>General</c:formatCode>
                <c:ptCount val="720"/>
                <c:pt idx="1">
                  <c:v>1.8595799992908724E-3</c:v>
                </c:pt>
                <c:pt idx="2">
                  <c:v>8.2134650001535192E-3</c:v>
                </c:pt>
                <c:pt idx="3">
                  <c:v>-5.0000000192085281E-4</c:v>
                </c:pt>
                <c:pt idx="5">
                  <c:v>-2.2494849981740117E-3</c:v>
                </c:pt>
                <c:pt idx="6">
                  <c:v>5.1869999879272655E-4</c:v>
                </c:pt>
                <c:pt idx="7">
                  <c:v>3.1624500115867704E-4</c:v>
                </c:pt>
                <c:pt idx="8">
                  <c:v>6.4778499654494226E-4</c:v>
                </c:pt>
                <c:pt idx="9">
                  <c:v>1.5131200052564964E-3</c:v>
                </c:pt>
                <c:pt idx="10">
                  <c:v>-1.2418149999575689E-3</c:v>
                </c:pt>
                <c:pt idx="11">
                  <c:v>1.0853400017367676E-3</c:v>
                </c:pt>
                <c:pt idx="14">
                  <c:v>1.7523599963169545E-3</c:v>
                </c:pt>
                <c:pt idx="15">
                  <c:v>-6.0257499717408791E-4</c:v>
                </c:pt>
                <c:pt idx="16">
                  <c:v>6.2275000527733937E-4</c:v>
                </c:pt>
                <c:pt idx="17">
                  <c:v>-3.2185002055484802E-5</c:v>
                </c:pt>
                <c:pt idx="18">
                  <c:v>1.29313999786973E-3</c:v>
                </c:pt>
                <c:pt idx="19">
                  <c:v>-1.0228399987681769E-3</c:v>
                </c:pt>
                <c:pt idx="20">
                  <c:v>6.1755500064464286E-4</c:v>
                </c:pt>
                <c:pt idx="21">
                  <c:v>-1.7373800001223572E-3</c:v>
                </c:pt>
                <c:pt idx="22">
                  <c:v>3.87944994145073E-4</c:v>
                </c:pt>
                <c:pt idx="23">
                  <c:v>-1.7433499961043708E-3</c:v>
                </c:pt>
                <c:pt idx="24">
                  <c:v>5.2365001465659589E-5</c:v>
                </c:pt>
                <c:pt idx="25">
                  <c:v>-1.6025700024329126E-3</c:v>
                </c:pt>
                <c:pt idx="27">
                  <c:v>2.7328700016369112E-3</c:v>
                </c:pt>
                <c:pt idx="30">
                  <c:v>1.5641700010746717E-3</c:v>
                </c:pt>
                <c:pt idx="31">
                  <c:v>3.4939000033773482E-4</c:v>
                </c:pt>
                <c:pt idx="32">
                  <c:v>4.3479500018293038E-3</c:v>
                </c:pt>
                <c:pt idx="33">
                  <c:v>4.4732750029652379E-3</c:v>
                </c:pt>
                <c:pt idx="34">
                  <c:v>3.5183399959350936E-3</c:v>
                </c:pt>
                <c:pt idx="35">
                  <c:v>3.374574996996671E-3</c:v>
                </c:pt>
                <c:pt idx="37">
                  <c:v>2.9279699956532568E-3</c:v>
                </c:pt>
                <c:pt idx="38">
                  <c:v>3.0279700004030019E-3</c:v>
                </c:pt>
                <c:pt idx="43">
                  <c:v>-6.6970002080779523E-5</c:v>
                </c:pt>
                <c:pt idx="44">
                  <c:v>1.1583550003706478E-3</c:v>
                </c:pt>
                <c:pt idx="45">
                  <c:v>6.0341999778756872E-4</c:v>
                </c:pt>
                <c:pt idx="47">
                  <c:v>4.4209499974385835E-3</c:v>
                </c:pt>
                <c:pt idx="48">
                  <c:v>6.2278350014821626E-3</c:v>
                </c:pt>
                <c:pt idx="49">
                  <c:v>5.3773299950989895E-3</c:v>
                </c:pt>
                <c:pt idx="50">
                  <c:v>5.5477200003224425E-3</c:v>
                </c:pt>
                <c:pt idx="51">
                  <c:v>5.9730450011556968E-3</c:v>
                </c:pt>
                <c:pt idx="52">
                  <c:v>1.0957450002024416E-2</c:v>
                </c:pt>
                <c:pt idx="53">
                  <c:v>9.8494300036691129E-3</c:v>
                </c:pt>
                <c:pt idx="54">
                  <c:v>7.9205050060409121E-3</c:v>
                </c:pt>
                <c:pt idx="55">
                  <c:v>8.1042201345553622E-3</c:v>
                </c:pt>
                <c:pt idx="56">
                  <c:v>8.5792000900255516E-3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F4-4694-B9F6-EE56EA56C92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Active!$L$21:$L$740</c:f>
              <c:numCache>
                <c:formatCode>General</c:formatCode>
                <c:ptCount val="7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F4-4694-B9F6-EE56EA56C9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Active!$M$21:$M$740</c:f>
              <c:numCache>
                <c:formatCode>General</c:formatCode>
                <c:ptCount val="7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F4-4694-B9F6-EE56EA56C9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</c:numCache>
            </c:numRef>
          </c:xVal>
          <c:yVal>
            <c:numRef>
              <c:f>Active!$N$21:$N$74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F4-4694-B9F6-EE56EA56C9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Active!$O$21:$O$740</c:f>
              <c:numCache>
                <c:formatCode>General</c:formatCode>
                <c:ptCount val="720"/>
                <c:pt idx="0">
                  <c:v>-3.2200250010598806E-2</c:v>
                </c:pt>
                <c:pt idx="1">
                  <c:v>-6.637890694491045E-3</c:v>
                </c:pt>
                <c:pt idx="2">
                  <c:v>-5.4124362263940308E-3</c:v>
                </c:pt>
                <c:pt idx="3">
                  <c:v>-3.2876537208583619E-3</c:v>
                </c:pt>
                <c:pt idx="4">
                  <c:v>-2.707411111649721E-3</c:v>
                </c:pt>
                <c:pt idx="5">
                  <c:v>-2.0295546051390194E-3</c:v>
                </c:pt>
                <c:pt idx="6">
                  <c:v>-7.3369011275855201E-4</c:v>
                </c:pt>
                <c:pt idx="7">
                  <c:v>-6.7192131872806805E-4</c:v>
                </c:pt>
                <c:pt idx="8">
                  <c:v>-1.2272312931713159E-4</c:v>
                </c:pt>
                <c:pt idx="9">
                  <c:v>-7.1835884494090077E-5</c:v>
                </c:pt>
                <c:pt idx="10">
                  <c:v>-7.1515838929165146E-5</c:v>
                </c:pt>
                <c:pt idx="11">
                  <c:v>-1.1667318288229901E-5</c:v>
                </c:pt>
                <c:pt idx="12">
                  <c:v>2.7347321333854972E-6</c:v>
                </c:pt>
                <c:pt idx="13">
                  <c:v>3.0547776983104284E-6</c:v>
                </c:pt>
                <c:pt idx="14">
                  <c:v>2.2897602723647055E-5</c:v>
                </c:pt>
                <c:pt idx="15">
                  <c:v>2.3217648288571986E-5</c:v>
                </c:pt>
                <c:pt idx="16">
                  <c:v>2.4817876113195775E-5</c:v>
                </c:pt>
                <c:pt idx="17">
                  <c:v>2.5137921678120706E-5</c:v>
                </c:pt>
                <c:pt idx="18">
                  <c:v>2.6738149502744928E-5</c:v>
                </c:pt>
                <c:pt idx="19">
                  <c:v>6.3738508737924042E-4</c:v>
                </c:pt>
                <c:pt idx="20">
                  <c:v>6.6394886926799844E-4</c:v>
                </c:pt>
                <c:pt idx="21">
                  <c:v>6.642689148329225E-4</c:v>
                </c:pt>
                <c:pt idx="22">
                  <c:v>6.6586914265754716E-4</c:v>
                </c:pt>
                <c:pt idx="23">
                  <c:v>6.8411173985825956E-4</c:v>
                </c:pt>
                <c:pt idx="24">
                  <c:v>6.8763224107243207E-4</c:v>
                </c:pt>
                <c:pt idx="25">
                  <c:v>6.87952286637357E-4</c:v>
                </c:pt>
                <c:pt idx="26">
                  <c:v>6.9883383584480032E-4</c:v>
                </c:pt>
                <c:pt idx="27">
                  <c:v>1.2563532099437807E-3</c:v>
                </c:pt>
                <c:pt idx="28">
                  <c:v>1.3379648289996017E-3</c:v>
                </c:pt>
                <c:pt idx="29">
                  <c:v>1.3382848745645266E-3</c:v>
                </c:pt>
                <c:pt idx="30">
                  <c:v>1.9028452510918528E-3</c:v>
                </c:pt>
                <c:pt idx="31">
                  <c:v>2.0270229302826706E-3</c:v>
                </c:pt>
                <c:pt idx="32">
                  <c:v>2.6107860407054849E-3</c:v>
                </c:pt>
                <c:pt idx="33">
                  <c:v>2.6123862685301087E-3</c:v>
                </c:pt>
                <c:pt idx="34">
                  <c:v>2.6127063140950336E-3</c:v>
                </c:pt>
                <c:pt idx="35">
                  <c:v>2.6187871798286047E-3</c:v>
                </c:pt>
                <c:pt idx="36">
                  <c:v>2.6875969762874337E-3</c:v>
                </c:pt>
                <c:pt idx="37">
                  <c:v>2.7093600747023195E-3</c:v>
                </c:pt>
                <c:pt idx="38">
                  <c:v>2.7093600747023195E-3</c:v>
                </c:pt>
                <c:pt idx="39">
                  <c:v>3.2976038230340802E-3</c:v>
                </c:pt>
                <c:pt idx="40">
                  <c:v>3.2979238685990051E-3</c:v>
                </c:pt>
                <c:pt idx="41">
                  <c:v>3.3104056456310714E-3</c:v>
                </c:pt>
                <c:pt idx="42">
                  <c:v>3.3107256911959963E-3</c:v>
                </c:pt>
                <c:pt idx="43">
                  <c:v>3.3251277416176121E-3</c:v>
                </c:pt>
                <c:pt idx="44">
                  <c:v>3.3267279694422359E-3</c:v>
                </c:pt>
                <c:pt idx="45">
                  <c:v>3.3270480150071609E-3</c:v>
                </c:pt>
                <c:pt idx="46">
                  <c:v>3.3270480150071609E-3</c:v>
                </c:pt>
                <c:pt idx="47">
                  <c:v>3.9549774133895953E-3</c:v>
                </c:pt>
                <c:pt idx="48">
                  <c:v>3.9642587347724148E-3</c:v>
                </c:pt>
                <c:pt idx="49">
                  <c:v>4.0356288957506415E-3</c:v>
                </c:pt>
                <c:pt idx="50">
                  <c:v>4.0375491691401911E-3</c:v>
                </c:pt>
                <c:pt idx="51">
                  <c:v>4.039149396964814E-3</c:v>
                </c:pt>
                <c:pt idx="52">
                  <c:v>4.6270730997316507E-3</c:v>
                </c:pt>
                <c:pt idx="53">
                  <c:v>7.344900037072952E-3</c:v>
                </c:pt>
                <c:pt idx="54">
                  <c:v>8.8027075853053614E-3</c:v>
                </c:pt>
                <c:pt idx="55">
                  <c:v>9.8303738942788557E-3</c:v>
                </c:pt>
                <c:pt idx="56">
                  <c:v>1.0051845425206809E-2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F4-4694-B9F6-EE56EA56C922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</c:numCache>
            </c:numRef>
          </c:xVal>
          <c:yVal>
            <c:numRef>
              <c:f>Active!$U$21:$U$74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F4-4694-B9F6-EE56EA56C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7744"/>
        <c:axId val="1"/>
      </c:scatterChart>
      <c:valAx>
        <c:axId val="934907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82705372210987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8032786885245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7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788897972452883E-2"/>
          <c:y val="0.91249999999999998"/>
          <c:w val="0.9089268486247961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UMa - O-C Diagr.</a:t>
            </a:r>
          </a:p>
        </c:rich>
      </c:tx>
      <c:layout>
        <c:manualLayout>
          <c:xMode val="edge"/>
          <c:yMode val="edge"/>
          <c:x val="0.3624778050284697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3869504965435"/>
          <c:y val="0.10266040061712921"/>
          <c:w val="0.8233706187634261"/>
          <c:h val="0.656714768977110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Active!$H$21:$H$740</c:f>
              <c:numCache>
                <c:formatCode>General</c:formatCode>
                <c:ptCount val="720"/>
                <c:pt idx="0">
                  <c:v>1.2729649970424362E-3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82-4D77-8FA5-11949A8DBF2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Active!$I$21:$I$740</c:f>
              <c:numCache>
                <c:formatCode>General</c:formatCode>
                <c:ptCount val="7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82-4D77-8FA5-11949A8DBF2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Active!$J$21:$J$740</c:f>
              <c:numCache>
                <c:formatCode>General</c:formatCode>
                <c:ptCount val="720"/>
                <c:pt idx="4">
                  <c:v>-3.9971549995243549E-3</c:v>
                </c:pt>
                <c:pt idx="12">
                  <c:v>8.1326500367140397E-4</c:v>
                </c:pt>
                <c:pt idx="13">
                  <c:v>1.2583299976540729E-3</c:v>
                </c:pt>
                <c:pt idx="26">
                  <c:v>-1.9703600046341307E-3</c:v>
                </c:pt>
                <c:pt idx="28">
                  <c:v>2.2244450010475703E-3</c:v>
                </c:pt>
                <c:pt idx="29">
                  <c:v>2.6695099950302392E-3</c:v>
                </c:pt>
                <c:pt idx="36">
                  <c:v>2.6635500034899451E-3</c:v>
                </c:pt>
                <c:pt idx="39">
                  <c:v>1.9574399993871339E-3</c:v>
                </c:pt>
                <c:pt idx="40">
                  <c:v>2.4025050006457604E-3</c:v>
                </c:pt>
                <c:pt idx="41">
                  <c:v>1.8600399998831563E-3</c:v>
                </c:pt>
                <c:pt idx="42">
                  <c:v>4.1051049993257038E-3</c:v>
                </c:pt>
                <c:pt idx="46">
                  <c:v>7.0342000253731385E-4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82-4D77-8FA5-11949A8DBF2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Active!$K$21:$K$740</c:f>
              <c:numCache>
                <c:formatCode>General</c:formatCode>
                <c:ptCount val="720"/>
                <c:pt idx="1">
                  <c:v>1.8595799992908724E-3</c:v>
                </c:pt>
                <c:pt idx="2">
                  <c:v>8.2134650001535192E-3</c:v>
                </c:pt>
                <c:pt idx="3">
                  <c:v>-5.0000000192085281E-4</c:v>
                </c:pt>
                <c:pt idx="5">
                  <c:v>-2.2494849981740117E-3</c:v>
                </c:pt>
                <c:pt idx="6">
                  <c:v>5.1869999879272655E-4</c:v>
                </c:pt>
                <c:pt idx="7">
                  <c:v>3.1624500115867704E-4</c:v>
                </c:pt>
                <c:pt idx="8">
                  <c:v>6.4778499654494226E-4</c:v>
                </c:pt>
                <c:pt idx="9">
                  <c:v>1.5131200052564964E-3</c:v>
                </c:pt>
                <c:pt idx="10">
                  <c:v>-1.2418149999575689E-3</c:v>
                </c:pt>
                <c:pt idx="11">
                  <c:v>1.0853400017367676E-3</c:v>
                </c:pt>
                <c:pt idx="14">
                  <c:v>1.7523599963169545E-3</c:v>
                </c:pt>
                <c:pt idx="15">
                  <c:v>-6.0257499717408791E-4</c:v>
                </c:pt>
                <c:pt idx="16">
                  <c:v>6.2275000527733937E-4</c:v>
                </c:pt>
                <c:pt idx="17">
                  <c:v>-3.2185002055484802E-5</c:v>
                </c:pt>
                <c:pt idx="18">
                  <c:v>1.29313999786973E-3</c:v>
                </c:pt>
                <c:pt idx="19">
                  <c:v>-1.0228399987681769E-3</c:v>
                </c:pt>
                <c:pt idx="20">
                  <c:v>6.1755500064464286E-4</c:v>
                </c:pt>
                <c:pt idx="21">
                  <c:v>-1.7373800001223572E-3</c:v>
                </c:pt>
                <c:pt idx="22">
                  <c:v>3.87944994145073E-4</c:v>
                </c:pt>
                <c:pt idx="23">
                  <c:v>-1.7433499961043708E-3</c:v>
                </c:pt>
                <c:pt idx="24">
                  <c:v>5.2365001465659589E-5</c:v>
                </c:pt>
                <c:pt idx="25">
                  <c:v>-1.6025700024329126E-3</c:v>
                </c:pt>
                <c:pt idx="27">
                  <c:v>2.7328700016369112E-3</c:v>
                </c:pt>
                <c:pt idx="30">
                  <c:v>1.5641700010746717E-3</c:v>
                </c:pt>
                <c:pt idx="31">
                  <c:v>3.4939000033773482E-4</c:v>
                </c:pt>
                <c:pt idx="32">
                  <c:v>4.3479500018293038E-3</c:v>
                </c:pt>
                <c:pt idx="33">
                  <c:v>4.4732750029652379E-3</c:v>
                </c:pt>
                <c:pt idx="34">
                  <c:v>3.5183399959350936E-3</c:v>
                </c:pt>
                <c:pt idx="35">
                  <c:v>3.374574996996671E-3</c:v>
                </c:pt>
                <c:pt idx="37">
                  <c:v>2.9279699956532568E-3</c:v>
                </c:pt>
                <c:pt idx="38">
                  <c:v>3.0279700004030019E-3</c:v>
                </c:pt>
                <c:pt idx="43">
                  <c:v>-6.6970002080779523E-5</c:v>
                </c:pt>
                <c:pt idx="44">
                  <c:v>1.1583550003706478E-3</c:v>
                </c:pt>
                <c:pt idx="45">
                  <c:v>6.0341999778756872E-4</c:v>
                </c:pt>
                <c:pt idx="47">
                  <c:v>4.4209499974385835E-3</c:v>
                </c:pt>
                <c:pt idx="48">
                  <c:v>6.2278350014821626E-3</c:v>
                </c:pt>
                <c:pt idx="49">
                  <c:v>5.3773299950989895E-3</c:v>
                </c:pt>
                <c:pt idx="50">
                  <c:v>5.5477200003224425E-3</c:v>
                </c:pt>
                <c:pt idx="51">
                  <c:v>5.9730450011556968E-3</c:v>
                </c:pt>
                <c:pt idx="52">
                  <c:v>1.0957450002024416E-2</c:v>
                </c:pt>
                <c:pt idx="53">
                  <c:v>9.8494300036691129E-3</c:v>
                </c:pt>
                <c:pt idx="54">
                  <c:v>7.9205050060409121E-3</c:v>
                </c:pt>
                <c:pt idx="55">
                  <c:v>8.1042201345553622E-3</c:v>
                </c:pt>
                <c:pt idx="56">
                  <c:v>8.5792000900255516E-3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82-4D77-8FA5-11949A8DBF2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Active!$L$21:$L$740</c:f>
              <c:numCache>
                <c:formatCode>General</c:formatCode>
                <c:ptCount val="7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82-4D77-8FA5-11949A8DBF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Active!$M$21:$M$740</c:f>
              <c:numCache>
                <c:formatCode>General</c:formatCode>
                <c:ptCount val="7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82-4D77-8FA5-11949A8DBF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Active!$N$21:$N$740</c:f>
              <c:numCache>
                <c:formatCode>General</c:formatCode>
                <c:ptCount val="7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82-4D77-8FA5-11949A8DBF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Active!$F$21:$F$740</c:f>
              <c:numCache>
                <c:formatCode>General</c:formatCode>
                <c:ptCount val="720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  <c:pt idx="54">
                  <c:v>18888.5</c:v>
                </c:pt>
                <c:pt idx="55">
                  <c:v>20494</c:v>
                </c:pt>
                <c:pt idx="56">
                  <c:v>20840</c:v>
                </c:pt>
              </c:numCache>
            </c:numRef>
          </c:xVal>
          <c:yVal>
            <c:numRef>
              <c:f>Active!$O$21:$O$740</c:f>
              <c:numCache>
                <c:formatCode>General</c:formatCode>
                <c:ptCount val="720"/>
                <c:pt idx="0">
                  <c:v>-3.2200250010598806E-2</c:v>
                </c:pt>
                <c:pt idx="1">
                  <c:v>-6.637890694491045E-3</c:v>
                </c:pt>
                <c:pt idx="2">
                  <c:v>-5.4124362263940308E-3</c:v>
                </c:pt>
                <c:pt idx="3">
                  <c:v>-3.2876537208583619E-3</c:v>
                </c:pt>
                <c:pt idx="4">
                  <c:v>-2.707411111649721E-3</c:v>
                </c:pt>
                <c:pt idx="5">
                  <c:v>-2.0295546051390194E-3</c:v>
                </c:pt>
                <c:pt idx="6">
                  <c:v>-7.3369011275855201E-4</c:v>
                </c:pt>
                <c:pt idx="7">
                  <c:v>-6.7192131872806805E-4</c:v>
                </c:pt>
                <c:pt idx="8">
                  <c:v>-1.2272312931713159E-4</c:v>
                </c:pt>
                <c:pt idx="9">
                  <c:v>-7.1835884494090077E-5</c:v>
                </c:pt>
                <c:pt idx="10">
                  <c:v>-7.1515838929165146E-5</c:v>
                </c:pt>
                <c:pt idx="11">
                  <c:v>-1.1667318288229901E-5</c:v>
                </c:pt>
                <c:pt idx="12">
                  <c:v>2.7347321333854972E-6</c:v>
                </c:pt>
                <c:pt idx="13">
                  <c:v>3.0547776983104284E-6</c:v>
                </c:pt>
                <c:pt idx="14">
                  <c:v>2.2897602723647055E-5</c:v>
                </c:pt>
                <c:pt idx="15">
                  <c:v>2.3217648288571986E-5</c:v>
                </c:pt>
                <c:pt idx="16">
                  <c:v>2.4817876113195775E-5</c:v>
                </c:pt>
                <c:pt idx="17">
                  <c:v>2.5137921678120706E-5</c:v>
                </c:pt>
                <c:pt idx="18">
                  <c:v>2.6738149502744928E-5</c:v>
                </c:pt>
                <c:pt idx="19">
                  <c:v>6.3738508737924042E-4</c:v>
                </c:pt>
                <c:pt idx="20">
                  <c:v>6.6394886926799844E-4</c:v>
                </c:pt>
                <c:pt idx="21">
                  <c:v>6.642689148329225E-4</c:v>
                </c:pt>
                <c:pt idx="22">
                  <c:v>6.6586914265754716E-4</c:v>
                </c:pt>
                <c:pt idx="23">
                  <c:v>6.8411173985825956E-4</c:v>
                </c:pt>
                <c:pt idx="24">
                  <c:v>6.8763224107243207E-4</c:v>
                </c:pt>
                <c:pt idx="25">
                  <c:v>6.87952286637357E-4</c:v>
                </c:pt>
                <c:pt idx="26">
                  <c:v>6.9883383584480032E-4</c:v>
                </c:pt>
                <c:pt idx="27">
                  <c:v>1.2563532099437807E-3</c:v>
                </c:pt>
                <c:pt idx="28">
                  <c:v>1.3379648289996017E-3</c:v>
                </c:pt>
                <c:pt idx="29">
                  <c:v>1.3382848745645266E-3</c:v>
                </c:pt>
                <c:pt idx="30">
                  <c:v>1.9028452510918528E-3</c:v>
                </c:pt>
                <c:pt idx="31">
                  <c:v>2.0270229302826706E-3</c:v>
                </c:pt>
                <c:pt idx="32">
                  <c:v>2.6107860407054849E-3</c:v>
                </c:pt>
                <c:pt idx="33">
                  <c:v>2.6123862685301087E-3</c:v>
                </c:pt>
                <c:pt idx="34">
                  <c:v>2.6127063140950336E-3</c:v>
                </c:pt>
                <c:pt idx="35">
                  <c:v>2.6187871798286047E-3</c:v>
                </c:pt>
                <c:pt idx="36">
                  <c:v>2.6875969762874337E-3</c:v>
                </c:pt>
                <c:pt idx="37">
                  <c:v>2.7093600747023195E-3</c:v>
                </c:pt>
                <c:pt idx="38">
                  <c:v>2.7093600747023195E-3</c:v>
                </c:pt>
                <c:pt idx="39">
                  <c:v>3.2976038230340802E-3</c:v>
                </c:pt>
                <c:pt idx="40">
                  <c:v>3.2979238685990051E-3</c:v>
                </c:pt>
                <c:pt idx="41">
                  <c:v>3.3104056456310714E-3</c:v>
                </c:pt>
                <c:pt idx="42">
                  <c:v>3.3107256911959963E-3</c:v>
                </c:pt>
                <c:pt idx="43">
                  <c:v>3.3251277416176121E-3</c:v>
                </c:pt>
                <c:pt idx="44">
                  <c:v>3.3267279694422359E-3</c:v>
                </c:pt>
                <c:pt idx="45">
                  <c:v>3.3270480150071609E-3</c:v>
                </c:pt>
                <c:pt idx="46">
                  <c:v>3.3270480150071609E-3</c:v>
                </c:pt>
                <c:pt idx="47">
                  <c:v>3.9549774133895953E-3</c:v>
                </c:pt>
                <c:pt idx="48">
                  <c:v>3.9642587347724148E-3</c:v>
                </c:pt>
                <c:pt idx="49">
                  <c:v>4.0356288957506415E-3</c:v>
                </c:pt>
                <c:pt idx="50">
                  <c:v>4.0375491691401911E-3</c:v>
                </c:pt>
                <c:pt idx="51">
                  <c:v>4.039149396964814E-3</c:v>
                </c:pt>
                <c:pt idx="52">
                  <c:v>4.6270730997316507E-3</c:v>
                </c:pt>
                <c:pt idx="53">
                  <c:v>7.344900037072952E-3</c:v>
                </c:pt>
                <c:pt idx="54">
                  <c:v>8.8027075853053614E-3</c:v>
                </c:pt>
                <c:pt idx="55">
                  <c:v>9.8303738942788557E-3</c:v>
                </c:pt>
                <c:pt idx="56">
                  <c:v>1.0051845425206809E-2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82-4D77-8FA5-11949A8DBF20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-45169.5</c:v>
                </c:pt>
                <c:pt idx="1">
                  <c:v>-5234</c:v>
                </c:pt>
                <c:pt idx="2">
                  <c:v>-3319.5</c:v>
                </c:pt>
                <c:pt idx="3">
                  <c:v>0</c:v>
                </c:pt>
                <c:pt idx="4">
                  <c:v>906.5</c:v>
                </c:pt>
                <c:pt idx="5">
                  <c:v>1965.5</c:v>
                </c:pt>
                <c:pt idx="6">
                  <c:v>3990</c:v>
                </c:pt>
                <c:pt idx="7">
                  <c:v>4086.5</c:v>
                </c:pt>
                <c:pt idx="8">
                  <c:v>4944.5</c:v>
                </c:pt>
                <c:pt idx="9">
                  <c:v>5024</c:v>
                </c:pt>
                <c:pt idx="10">
                  <c:v>5024.5</c:v>
                </c:pt>
                <c:pt idx="11">
                  <c:v>5118</c:v>
                </c:pt>
                <c:pt idx="12">
                  <c:v>5140.5</c:v>
                </c:pt>
                <c:pt idx="13">
                  <c:v>5141</c:v>
                </c:pt>
                <c:pt idx="14">
                  <c:v>5172</c:v>
                </c:pt>
                <c:pt idx="15">
                  <c:v>5172.5</c:v>
                </c:pt>
                <c:pt idx="16">
                  <c:v>5175</c:v>
                </c:pt>
                <c:pt idx="17">
                  <c:v>5175.5</c:v>
                </c:pt>
                <c:pt idx="18">
                  <c:v>5178</c:v>
                </c:pt>
                <c:pt idx="19">
                  <c:v>6132</c:v>
                </c:pt>
                <c:pt idx="20">
                  <c:v>6173.5</c:v>
                </c:pt>
                <c:pt idx="21">
                  <c:v>6174</c:v>
                </c:pt>
                <c:pt idx="22">
                  <c:v>6176.5</c:v>
                </c:pt>
                <c:pt idx="23">
                  <c:v>6205</c:v>
                </c:pt>
                <c:pt idx="24">
                  <c:v>6210.5</c:v>
                </c:pt>
                <c:pt idx="25">
                  <c:v>6211</c:v>
                </c:pt>
                <c:pt idx="26">
                  <c:v>6228</c:v>
                </c:pt>
                <c:pt idx="27">
                  <c:v>7099</c:v>
                </c:pt>
                <c:pt idx="28">
                  <c:v>7226.5</c:v>
                </c:pt>
                <c:pt idx="29">
                  <c:v>7227</c:v>
                </c:pt>
                <c:pt idx="30">
                  <c:v>8109</c:v>
                </c:pt>
                <c:pt idx="31">
                  <c:v>8303</c:v>
                </c:pt>
                <c:pt idx="32">
                  <c:v>9215</c:v>
                </c:pt>
                <c:pt idx="33">
                  <c:v>9217.5</c:v>
                </c:pt>
                <c:pt idx="34">
                  <c:v>9218</c:v>
                </c:pt>
                <c:pt idx="35">
                  <c:v>9227.5</c:v>
                </c:pt>
                <c:pt idx="36">
                  <c:v>9335</c:v>
                </c:pt>
                <c:pt idx="37">
                  <c:v>9369</c:v>
                </c:pt>
                <c:pt idx="38">
                  <c:v>9369</c:v>
                </c:pt>
                <c:pt idx="39">
                  <c:v>10288</c:v>
                </c:pt>
                <c:pt idx="40">
                  <c:v>10288.5</c:v>
                </c:pt>
                <c:pt idx="41">
                  <c:v>10308</c:v>
                </c:pt>
                <c:pt idx="42">
                  <c:v>10308.5</c:v>
                </c:pt>
                <c:pt idx="43">
                  <c:v>10331</c:v>
                </c:pt>
                <c:pt idx="44">
                  <c:v>10333.5</c:v>
                </c:pt>
                <c:pt idx="45">
                  <c:v>10334</c:v>
                </c:pt>
                <c:pt idx="46">
                  <c:v>10334</c:v>
                </c:pt>
                <c:pt idx="47">
                  <c:v>11315</c:v>
                </c:pt>
                <c:pt idx="48">
                  <c:v>11329.5</c:v>
                </c:pt>
                <c:pt idx="49">
                  <c:v>11441</c:v>
                </c:pt>
                <c:pt idx="50">
                  <c:v>11444</c:v>
                </c:pt>
                <c:pt idx="51">
                  <c:v>11446.5</c:v>
                </c:pt>
                <c:pt idx="52">
                  <c:v>12365</c:v>
                </c:pt>
                <c:pt idx="53">
                  <c:v>16611</c:v>
                </c:pt>
              </c:numCache>
            </c:numRef>
          </c:xVal>
          <c:yVal>
            <c:numRef>
              <c:f>Active!$U$21:$U$74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82-4D77-8FA5-11949A8DB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0696"/>
        <c:axId val="1"/>
      </c:scatterChart>
      <c:valAx>
        <c:axId val="9349106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64490435963264"/>
              <c:y val="0.84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900314087062871E-2"/>
              <c:y val="0.406249919240838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06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930974475185141E-2"/>
          <c:y val="0.91249999999999998"/>
          <c:w val="0.9089268486247961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UMa - O-C Diagr.</a:t>
            </a:r>
          </a:p>
        </c:rich>
      </c:tx>
      <c:layout>
        <c:manualLayout>
          <c:xMode val="edge"/>
          <c:yMode val="edge"/>
          <c:x val="0.3642172523961661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7252396166133"/>
          <c:y val="0.23511007774245343"/>
          <c:w val="0.80670926517571884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(old)'!$H$21:$H$40</c:f>
              <c:numCache>
                <c:formatCode>General</c:formatCode>
                <c:ptCount val="20"/>
                <c:pt idx="0">
                  <c:v>0.21850799999810988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9-4578-A39F-0668C1DA6121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(old)'!$I$21:$I$40</c:f>
              <c:numCache>
                <c:formatCode>General</c:formatCode>
                <c:ptCount val="20"/>
                <c:pt idx="1">
                  <c:v>-0.45571599999675527</c:v>
                </c:pt>
                <c:pt idx="2">
                  <c:v>-0.4651159999993979</c:v>
                </c:pt>
                <c:pt idx="8">
                  <c:v>-0.37169199999334523</c:v>
                </c:pt>
                <c:pt idx="9">
                  <c:v>-0.41500000000087311</c:v>
                </c:pt>
                <c:pt idx="16">
                  <c:v>-0.48641199999838136</c:v>
                </c:pt>
                <c:pt idx="17">
                  <c:v>-0.44025599999440601</c:v>
                </c:pt>
                <c:pt idx="18">
                  <c:v>-0.45388799999636831</c:v>
                </c:pt>
                <c:pt idx="19">
                  <c:v>-0.49719600000389619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D9-4578-A39F-0668C1DA6121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(old)'!$J$21:$J$40</c:f>
              <c:numCache>
                <c:formatCode>General</c:formatCode>
                <c:ptCount val="20"/>
                <c:pt idx="3">
                  <c:v>-0.48496799999702489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D9-4578-A39F-0668C1DA6121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(old)'!$K$21:$K$40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D9-4578-A39F-0668C1DA6121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(old)'!$L$21:$L$40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D9-4578-A39F-0668C1DA6121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(old)'!$M$21:$M$40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D9-4578-A39F-0668C1DA6121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(old)'!$N$21:$N$40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D9-4578-A39F-0668C1DA6121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(old)'!$O$21:$O$40</c:f>
              <c:numCache>
                <c:formatCode>General</c:formatCode>
                <c:ptCount val="20"/>
                <c:pt idx="0">
                  <c:v>0.20009610896503555</c:v>
                </c:pt>
                <c:pt idx="1">
                  <c:v>-0.39071596395579611</c:v>
                </c:pt>
                <c:pt idx="2">
                  <c:v>-0.40257259974580073</c:v>
                </c:pt>
                <c:pt idx="3">
                  <c:v>-0.4164244211446062</c:v>
                </c:pt>
                <c:pt idx="4">
                  <c:v>-0.45538777944762143</c:v>
                </c:pt>
                <c:pt idx="5">
                  <c:v>-0.45642625720302188</c:v>
                </c:pt>
                <c:pt idx="6">
                  <c:v>-0.45643443419322183</c:v>
                </c:pt>
                <c:pt idx="7">
                  <c:v>-0.45765280573302236</c:v>
                </c:pt>
                <c:pt idx="8">
                  <c:v>-0.45794717738022239</c:v>
                </c:pt>
                <c:pt idx="9">
                  <c:v>-0.45795535437042245</c:v>
                </c:pt>
                <c:pt idx="10">
                  <c:v>-0.45836420388042265</c:v>
                </c:pt>
                <c:pt idx="11">
                  <c:v>-0.45836420388042265</c:v>
                </c:pt>
                <c:pt idx="12">
                  <c:v>-0.45839691184122267</c:v>
                </c:pt>
                <c:pt idx="13">
                  <c:v>-0.45840508883142261</c:v>
                </c:pt>
                <c:pt idx="14">
                  <c:v>-0.45843779679222263</c:v>
                </c:pt>
                <c:pt idx="15">
                  <c:v>-0.47091588383742755</c:v>
                </c:pt>
                <c:pt idx="16">
                  <c:v>-0.47217514032822805</c:v>
                </c:pt>
                <c:pt idx="17">
                  <c:v>-0.4835656876768325</c:v>
                </c:pt>
                <c:pt idx="18">
                  <c:v>-0.4852337936776332</c:v>
                </c:pt>
                <c:pt idx="19">
                  <c:v>-0.48524197066783314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D9-4578-A39F-0668C1DA6121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(old)'!$R$21:$R$40</c:f>
              <c:numCache>
                <c:formatCode>General</c:formatCode>
                <c:ptCount val="20"/>
                <c:pt idx="4">
                  <c:v>-0.48278800000116462</c:v>
                </c:pt>
                <c:pt idx="5">
                  <c:v>-0.44640399999479996</c:v>
                </c:pt>
                <c:pt idx="6">
                  <c:v>-0.49291199999424862</c:v>
                </c:pt>
                <c:pt idx="7">
                  <c:v>-0.36910399999760557</c:v>
                </c:pt>
                <c:pt idx="10">
                  <c:v>-0.50509999999485444</c:v>
                </c:pt>
                <c:pt idx="11">
                  <c:v>-0.33269999999174615</c:v>
                </c:pt>
                <c:pt idx="12">
                  <c:v>-0.33173199999873759</c:v>
                </c:pt>
                <c:pt idx="13">
                  <c:v>-0.37614000000030501</c:v>
                </c:pt>
                <c:pt idx="14">
                  <c:v>-0.3750720000025467</c:v>
                </c:pt>
                <c:pt idx="15">
                  <c:v>-0.38817999999446329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D9-4578-A39F-0668C1DA6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6600"/>
        <c:axId val="1"/>
      </c:scatterChart>
      <c:valAx>
        <c:axId val="934916600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7444089456868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5654952076675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6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7859424920127799E-2"/>
          <c:y val="0.91222702177901738"/>
          <c:w val="0.95047923322683703"/>
          <c:h val="0.974922946543907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UMa - O-C Diagr.</a:t>
            </a:r>
          </a:p>
        </c:rich>
      </c:tx>
      <c:layout>
        <c:manualLayout>
          <c:xMode val="edge"/>
          <c:yMode val="edge"/>
          <c:x val="0.36290322580645162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23364557062150329"/>
          <c:w val="0.81451612903225812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(old)'!$H$21:$H$40</c:f>
              <c:numCache>
                <c:formatCode>General</c:formatCode>
                <c:ptCount val="20"/>
                <c:pt idx="0">
                  <c:v>0.21850799999810988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98-4B37-9392-1DFBD89087D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(old)'!$I$21:$I$40</c:f>
              <c:numCache>
                <c:formatCode>General</c:formatCode>
                <c:ptCount val="20"/>
                <c:pt idx="1">
                  <c:v>-0.45571599999675527</c:v>
                </c:pt>
                <c:pt idx="2">
                  <c:v>-0.4651159999993979</c:v>
                </c:pt>
                <c:pt idx="8">
                  <c:v>-0.37169199999334523</c:v>
                </c:pt>
                <c:pt idx="9">
                  <c:v>-0.41500000000087311</c:v>
                </c:pt>
                <c:pt idx="16">
                  <c:v>-0.48641199999838136</c:v>
                </c:pt>
                <c:pt idx="17">
                  <c:v>-0.44025599999440601</c:v>
                </c:pt>
                <c:pt idx="18">
                  <c:v>-0.45388799999636831</c:v>
                </c:pt>
                <c:pt idx="19">
                  <c:v>-0.49719600000389619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98-4B37-9392-1DFBD89087D6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(old)'!$J$21:$J$40</c:f>
              <c:numCache>
                <c:formatCode>General</c:formatCode>
                <c:ptCount val="20"/>
                <c:pt idx="3">
                  <c:v>-0.48496799999702489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98-4B37-9392-1DFBD89087D6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(old)'!$K$21:$K$40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98-4B37-9392-1DFBD89087D6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(old)'!$L$21:$L$40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98-4B37-9392-1DFBD89087D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(old)'!$M$21:$M$40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98-4B37-9392-1DFBD89087D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(old)'!$N$21:$N$40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98-4B37-9392-1DFBD89087D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(old)'!$O$21:$O$40</c:f>
              <c:numCache>
                <c:formatCode>General</c:formatCode>
                <c:ptCount val="20"/>
                <c:pt idx="0">
                  <c:v>0.20009610896503555</c:v>
                </c:pt>
                <c:pt idx="1">
                  <c:v>-0.39071596395579611</c:v>
                </c:pt>
                <c:pt idx="2">
                  <c:v>-0.40257259974580073</c:v>
                </c:pt>
                <c:pt idx="3">
                  <c:v>-0.4164244211446062</c:v>
                </c:pt>
                <c:pt idx="4">
                  <c:v>-0.45538777944762143</c:v>
                </c:pt>
                <c:pt idx="5">
                  <c:v>-0.45642625720302188</c:v>
                </c:pt>
                <c:pt idx="6">
                  <c:v>-0.45643443419322183</c:v>
                </c:pt>
                <c:pt idx="7">
                  <c:v>-0.45765280573302236</c:v>
                </c:pt>
                <c:pt idx="8">
                  <c:v>-0.45794717738022239</c:v>
                </c:pt>
                <c:pt idx="9">
                  <c:v>-0.45795535437042245</c:v>
                </c:pt>
                <c:pt idx="10">
                  <c:v>-0.45836420388042265</c:v>
                </c:pt>
                <c:pt idx="11">
                  <c:v>-0.45836420388042265</c:v>
                </c:pt>
                <c:pt idx="12">
                  <c:v>-0.45839691184122267</c:v>
                </c:pt>
                <c:pt idx="13">
                  <c:v>-0.45840508883142261</c:v>
                </c:pt>
                <c:pt idx="14">
                  <c:v>-0.45843779679222263</c:v>
                </c:pt>
                <c:pt idx="15">
                  <c:v>-0.47091588383742755</c:v>
                </c:pt>
                <c:pt idx="16">
                  <c:v>-0.47217514032822805</c:v>
                </c:pt>
                <c:pt idx="17">
                  <c:v>-0.4835656876768325</c:v>
                </c:pt>
                <c:pt idx="18">
                  <c:v>-0.4852337936776332</c:v>
                </c:pt>
                <c:pt idx="19">
                  <c:v>-0.48524197066783314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98-4B37-9392-1DFBD89087D6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(old)'!$R$21:$R$40</c:f>
              <c:numCache>
                <c:formatCode>General</c:formatCode>
                <c:ptCount val="20"/>
                <c:pt idx="4">
                  <c:v>-0.48278800000116462</c:v>
                </c:pt>
                <c:pt idx="5">
                  <c:v>-0.44640399999479996</c:v>
                </c:pt>
                <c:pt idx="6">
                  <c:v>-0.49291199999424862</c:v>
                </c:pt>
                <c:pt idx="7">
                  <c:v>-0.36910399999760557</c:v>
                </c:pt>
                <c:pt idx="10">
                  <c:v>-0.50509999999485444</c:v>
                </c:pt>
                <c:pt idx="11">
                  <c:v>-0.33269999999174615</c:v>
                </c:pt>
                <c:pt idx="12">
                  <c:v>-0.33173199999873759</c:v>
                </c:pt>
                <c:pt idx="13">
                  <c:v>-0.37614000000030501</c:v>
                </c:pt>
                <c:pt idx="14">
                  <c:v>-0.3750720000025467</c:v>
                </c:pt>
                <c:pt idx="15">
                  <c:v>-0.38817999999446329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98-4B37-9392-1DFBD8908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9224"/>
        <c:axId val="1"/>
      </c:scatterChart>
      <c:valAx>
        <c:axId val="934919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29032258064511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9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8709677419354843E-2"/>
          <c:y val="0.90965993736764217"/>
          <c:w val="0.94516129032258067"/>
          <c:h val="0.971965560379718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180975</xdr:colOff>
      <xdr:row>18</xdr:row>
      <xdr:rowOff>66674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34B282D-FF97-B1FB-4BA6-8CF36900E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333375</xdr:colOff>
      <xdr:row>0</xdr:row>
      <xdr:rowOff>0</xdr:rowOff>
    </xdr:from>
    <xdr:to>
      <xdr:col>27</xdr:col>
      <xdr:colOff>533400</xdr:colOff>
      <xdr:row>18</xdr:row>
      <xdr:rowOff>85724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C5CFD5C-5720-205D-BF6F-EAEF22A3F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57150</xdr:rowOff>
    </xdr:from>
    <xdr:to>
      <xdr:col>15</xdr:col>
      <xdr:colOff>247650</xdr:colOff>
      <xdr:row>18</xdr:row>
      <xdr:rowOff>85725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741696A6-B23C-0F5D-9153-2ED4D175D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CF862207-D932-E73A-ADB3-67F1DC382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konkoly.hu/cgi-bin/IBVS?5933" TargetMode="External"/><Relationship Id="rId18" Type="http://schemas.openxmlformats.org/officeDocument/2006/relationships/hyperlink" Target="http://www.bav-astro.de/sfs/BAVM_link.php?BAVMnr=220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760" TargetMode="External"/><Relationship Id="rId21" Type="http://schemas.openxmlformats.org/officeDocument/2006/relationships/hyperlink" Target="http://www.konkoly.hu/cgi-bin/IBVS?6029" TargetMode="External"/><Relationship Id="rId34" Type="http://schemas.openxmlformats.org/officeDocument/2006/relationships/hyperlink" Target="http://www.konkoly.hu/cgi-bin/IBVS?5940" TargetMode="External"/><Relationship Id="rId7" Type="http://schemas.openxmlformats.org/officeDocument/2006/relationships/hyperlink" Target="http://www.konkoly.hu/cgi-bin/IBVS?5933" TargetMode="External"/><Relationship Id="rId12" Type="http://schemas.openxmlformats.org/officeDocument/2006/relationships/hyperlink" Target="http://www.konkoly.hu/cgi-bin/IBVS?5933" TargetMode="External"/><Relationship Id="rId17" Type="http://schemas.openxmlformats.org/officeDocument/2006/relationships/hyperlink" Target="http://www.konkoly.hu/cgi-bin/IBVS?5992" TargetMode="External"/><Relationship Id="rId25" Type="http://schemas.openxmlformats.org/officeDocument/2006/relationships/hyperlink" Target="http://www.bav-astro.de/sfs/BAVM_link.php?BAVMnr=238" TargetMode="External"/><Relationship Id="rId33" Type="http://schemas.openxmlformats.org/officeDocument/2006/relationships/hyperlink" Target="http://www.konkoly.hu/cgi-bin/IBVS?5940" TargetMode="External"/><Relationship Id="rId2" Type="http://schemas.openxmlformats.org/officeDocument/2006/relationships/hyperlink" Target="http://www.bav-astro.de/sfs/BAVM_link.php?BAVMnr=173" TargetMode="External"/><Relationship Id="rId16" Type="http://schemas.openxmlformats.org/officeDocument/2006/relationships/hyperlink" Target="http://www.bav-astro.de/sfs/BAVM_link.php?BAVMnr=214" TargetMode="External"/><Relationship Id="rId20" Type="http://schemas.openxmlformats.org/officeDocument/2006/relationships/hyperlink" Target="http://www.konkoly.hu/cgi-bin/IBVS?6029" TargetMode="External"/><Relationship Id="rId29" Type="http://schemas.openxmlformats.org/officeDocument/2006/relationships/hyperlink" Target="http://www.konkoly.hu/cgi-bin/IBVS?5940" TargetMode="External"/><Relationship Id="rId1" Type="http://schemas.openxmlformats.org/officeDocument/2006/relationships/hyperlink" Target="http://www.konkoly.hu/cgi-bin/IBVS?5603" TargetMode="External"/><Relationship Id="rId6" Type="http://schemas.openxmlformats.org/officeDocument/2006/relationships/hyperlink" Target="http://www.konkoly.hu/cgi-bin/IBVS?5894" TargetMode="External"/><Relationship Id="rId11" Type="http://schemas.openxmlformats.org/officeDocument/2006/relationships/hyperlink" Target="http://www.konkoly.hu/cgi-bin/IBVS?5933" TargetMode="External"/><Relationship Id="rId24" Type="http://schemas.openxmlformats.org/officeDocument/2006/relationships/hyperlink" Target="http://www.bav-astro.de/sfs/BAVM_link.php?BAVMnr=238" TargetMode="External"/><Relationship Id="rId32" Type="http://schemas.openxmlformats.org/officeDocument/2006/relationships/hyperlink" Target="http://www.konkoly.hu/cgi-bin/IBVS?5940" TargetMode="External"/><Relationship Id="rId5" Type="http://schemas.openxmlformats.org/officeDocument/2006/relationships/hyperlink" Target="http://www.konkoly.hu/cgi-bin/IBVS?5894" TargetMode="External"/><Relationship Id="rId15" Type="http://schemas.openxmlformats.org/officeDocument/2006/relationships/hyperlink" Target="http://www.konkoly.hu/cgi-bin/IBVS?5945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solj.cetus-net.org/no48.pdf" TargetMode="External"/><Relationship Id="rId36" Type="http://schemas.openxmlformats.org/officeDocument/2006/relationships/hyperlink" Target="http://www.bav-astro.de/sfs/BAVM_link.php?BAVMnr=241" TargetMode="External"/><Relationship Id="rId10" Type="http://schemas.openxmlformats.org/officeDocument/2006/relationships/hyperlink" Target="http://www.konkoly.hu/cgi-bin/IBVS?5933" TargetMode="External"/><Relationship Id="rId19" Type="http://schemas.openxmlformats.org/officeDocument/2006/relationships/hyperlink" Target="http://www.bav-astro.de/sfs/BAVM_link.php?BAVMnr=220" TargetMode="External"/><Relationship Id="rId31" Type="http://schemas.openxmlformats.org/officeDocument/2006/relationships/hyperlink" Target="http://www.konkoly.hu/cgi-bin/IBVS?5940" TargetMode="External"/><Relationship Id="rId4" Type="http://schemas.openxmlformats.org/officeDocument/2006/relationships/hyperlink" Target="http://www.konkoly.hu/cgi-bin/IBVS?5894" TargetMode="External"/><Relationship Id="rId9" Type="http://schemas.openxmlformats.org/officeDocument/2006/relationships/hyperlink" Target="http://www.bav-astro.de/sfs/BAVM_link.php?BAVMnr=209" TargetMode="External"/><Relationship Id="rId14" Type="http://schemas.openxmlformats.org/officeDocument/2006/relationships/hyperlink" Target="http://www.konkoly.hu/cgi-bin/IBVS?5933" TargetMode="External"/><Relationship Id="rId22" Type="http://schemas.openxmlformats.org/officeDocument/2006/relationships/hyperlink" Target="http://www.konkoly.hu/cgi-bin/IBVS?6092" TargetMode="External"/><Relationship Id="rId27" Type="http://schemas.openxmlformats.org/officeDocument/2006/relationships/hyperlink" Target="http://vsolj.cetus-net.org/no48.pdf" TargetMode="External"/><Relationship Id="rId30" Type="http://schemas.openxmlformats.org/officeDocument/2006/relationships/hyperlink" Target="http://www.konkoly.hu/cgi-bin/IBVS?5940" TargetMode="External"/><Relationship Id="rId35" Type="http://schemas.openxmlformats.org/officeDocument/2006/relationships/hyperlink" Target="http://www.bav-astro.de/sfs/BAVM_link.php?BAVMnr=24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RowHeight="12.75" x14ac:dyDescent="0.2"/>
  <cols>
    <col min="1" max="1" width="18" style="1" customWidth="1"/>
    <col min="2" max="2" width="5.140625" style="1" customWidth="1"/>
    <col min="3" max="3" width="11.85546875" style="1" customWidth="1"/>
    <col min="4" max="4" width="9.42578125" style="1" customWidth="1"/>
    <col min="5" max="5" width="11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D2" s="1" t="s">
        <v>3</v>
      </c>
    </row>
    <row r="4" spans="1:6" x14ac:dyDescent="0.2">
      <c r="A4" s="3" t="s">
        <v>4</v>
      </c>
      <c r="C4" s="4">
        <v>37347.523999999998</v>
      </c>
      <c r="D4" s="5">
        <v>0.43701600000000002</v>
      </c>
    </row>
    <row r="5" spans="1:6" x14ac:dyDescent="0.2">
      <c r="A5" s="6" t="s">
        <v>5</v>
      </c>
      <c r="B5"/>
      <c r="C5" s="7">
        <v>-9.5</v>
      </c>
      <c r="D5" t="s">
        <v>6</v>
      </c>
    </row>
    <row r="6" spans="1:6" x14ac:dyDescent="0.2">
      <c r="A6" s="3" t="s">
        <v>7</v>
      </c>
      <c r="E6" s="90" t="s">
        <v>275</v>
      </c>
    </row>
    <row r="7" spans="1:6" x14ac:dyDescent="0.2">
      <c r="A7" s="1" t="s">
        <v>8</v>
      </c>
      <c r="C7" s="1">
        <v>53134.7088</v>
      </c>
      <c r="D7" s="1" t="s">
        <v>274</v>
      </c>
      <c r="E7" s="91">
        <v>37347.523999999998</v>
      </c>
    </row>
    <row r="8" spans="1:6" x14ac:dyDescent="0.2">
      <c r="A8" s="1" t="s">
        <v>9</v>
      </c>
      <c r="C8" s="1">
        <v>0.34950987</v>
      </c>
      <c r="D8" s="1" t="s">
        <v>274</v>
      </c>
      <c r="E8" s="92">
        <v>0.34950999999999999</v>
      </c>
    </row>
    <row r="9" spans="1:6" x14ac:dyDescent="0.2">
      <c r="A9" s="8" t="s">
        <v>10</v>
      </c>
      <c r="B9" s="9">
        <v>30</v>
      </c>
      <c r="C9" s="10" t="str">
        <f>"F"&amp;B9</f>
        <v>F30</v>
      </c>
      <c r="D9" s="11" t="str">
        <f>"G"&amp;B9</f>
        <v>G30</v>
      </c>
    </row>
    <row r="10" spans="1:6" x14ac:dyDescent="0.2">
      <c r="A10"/>
      <c r="B10"/>
      <c r="C10" s="12" t="s">
        <v>11</v>
      </c>
      <c r="D10" s="12" t="s">
        <v>12</v>
      </c>
      <c r="E10"/>
    </row>
    <row r="11" spans="1:6" x14ac:dyDescent="0.2">
      <c r="A11" t="s">
        <v>13</v>
      </c>
      <c r="B11"/>
      <c r="C11" s="13">
        <f ca="1">INTERCEPT(INDIRECT($D$9):G988,INDIRECT($C$9):F988)</f>
        <v>-3.2876537208583619E-3</v>
      </c>
      <c r="D11" s="14"/>
      <c r="E11"/>
    </row>
    <row r="12" spans="1:6" x14ac:dyDescent="0.2">
      <c r="A12" t="s">
        <v>14</v>
      </c>
      <c r="B12"/>
      <c r="C12" s="13">
        <f ca="1">SLOPE(INDIRECT($D$9):G988,INDIRECT($C$9):F988)</f>
        <v>6.400911298495764E-7</v>
      </c>
      <c r="D12" s="14"/>
      <c r="E12" s="85" t="s">
        <v>270</v>
      </c>
      <c r="F12" s="86" t="s">
        <v>273</v>
      </c>
    </row>
    <row r="13" spans="1:6" x14ac:dyDescent="0.2">
      <c r="A13" t="s">
        <v>15</v>
      </c>
      <c r="B13"/>
      <c r="C13" s="14" t="s">
        <v>16</v>
      </c>
      <c r="E13" s="84" t="s">
        <v>18</v>
      </c>
      <c r="F13" s="83">
        <v>1</v>
      </c>
    </row>
    <row r="14" spans="1:6" x14ac:dyDescent="0.2">
      <c r="A14"/>
      <c r="B14"/>
      <c r="C14"/>
      <c r="E14" s="84" t="s">
        <v>20</v>
      </c>
      <c r="F14" s="87">
        <f ca="1">NOW()+15018.5+$C$5/24</f>
        <v>60685.696804976847</v>
      </c>
    </row>
    <row r="15" spans="1:6" x14ac:dyDescent="0.2">
      <c r="A15" s="15" t="s">
        <v>17</v>
      </c>
      <c r="B15"/>
      <c r="C15" s="16">
        <f ca="1">(C7+C11)+(C8+C12)*INT(MAX(F21:F3529))</f>
        <v>60418.504542645423</v>
      </c>
      <c r="E15" s="81" t="s">
        <v>22</v>
      </c>
      <c r="F15" s="87">
        <f ca="1">ROUND(2*($F$14-$C$7)/$C$8,0)/2+$F$13</f>
        <v>21605.5</v>
      </c>
    </row>
    <row r="16" spans="1:6" x14ac:dyDescent="0.2">
      <c r="A16" s="15" t="s">
        <v>19</v>
      </c>
      <c r="B16"/>
      <c r="C16" s="16">
        <f ca="1">+C8+C12</f>
        <v>0.34951051009112982</v>
      </c>
      <c r="E16" s="81" t="s">
        <v>24</v>
      </c>
      <c r="F16" s="87">
        <f ca="1">ROUND(2*($F$14-$C$15)/$C$16,0)/2+$F$13</f>
        <v>765.5</v>
      </c>
    </row>
    <row r="17" spans="1:21" x14ac:dyDescent="0.2">
      <c r="A17" s="8" t="s">
        <v>21</v>
      </c>
      <c r="B17"/>
      <c r="C17">
        <f>COUNT(C21:C2187)</f>
        <v>57</v>
      </c>
      <c r="E17" s="81" t="s">
        <v>271</v>
      </c>
      <c r="F17" s="88">
        <f ca="1">+$C$15+$C$16*$F$16-15018.5-$C$5/24</f>
        <v>45667.950671453516</v>
      </c>
    </row>
    <row r="18" spans="1:21" x14ac:dyDescent="0.2">
      <c r="A18" s="15" t="s">
        <v>23</v>
      </c>
      <c r="B18"/>
      <c r="C18" s="17">
        <f ca="1">+C15</f>
        <v>60418.504542645423</v>
      </c>
      <c r="D18" s="80">
        <f ca="1">+C16</f>
        <v>0.34951051009112982</v>
      </c>
      <c r="E18" s="82" t="s">
        <v>272</v>
      </c>
      <c r="F18" s="89">
        <f ca="1">+($C$15+$C$16*$F$16)-($C$16/2)-15018.5-$C$5/24</f>
        <v>45667.775916198472</v>
      </c>
    </row>
    <row r="19" spans="1:21" x14ac:dyDescent="0.2">
      <c r="E19" s="8"/>
      <c r="F19" s="19"/>
    </row>
    <row r="20" spans="1:21" x14ac:dyDescent="0.2">
      <c r="A20" s="12" t="s">
        <v>26</v>
      </c>
      <c r="B20" s="12" t="s">
        <v>27</v>
      </c>
      <c r="C20" s="12" t="s">
        <v>28</v>
      </c>
      <c r="D20" s="12" t="s">
        <v>29</v>
      </c>
      <c r="E20" s="12" t="s">
        <v>30</v>
      </c>
      <c r="F20" s="12" t="s">
        <v>31</v>
      </c>
      <c r="G20" s="12" t="s">
        <v>32</v>
      </c>
      <c r="H20" s="20" t="s">
        <v>33</v>
      </c>
      <c r="I20" s="20" t="s">
        <v>34</v>
      </c>
      <c r="J20" s="20" t="s">
        <v>35</v>
      </c>
      <c r="K20" s="20" t="s">
        <v>36</v>
      </c>
      <c r="L20" s="20" t="s">
        <v>37</v>
      </c>
      <c r="M20" s="20" t="s">
        <v>38</v>
      </c>
      <c r="N20" s="20" t="s">
        <v>39</v>
      </c>
      <c r="O20" s="20" t="s">
        <v>40</v>
      </c>
      <c r="P20" s="20" t="s">
        <v>41</v>
      </c>
      <c r="Q20" s="12" t="s">
        <v>42</v>
      </c>
      <c r="U20" s="20" t="s">
        <v>43</v>
      </c>
    </row>
    <row r="21" spans="1:21" x14ac:dyDescent="0.2">
      <c r="A21" s="1" t="s">
        <v>44</v>
      </c>
      <c r="B21" s="14"/>
      <c r="C21" s="21">
        <v>37347.523999999998</v>
      </c>
      <c r="D21" s="21" t="s">
        <v>16</v>
      </c>
      <c r="E21" s="1">
        <f t="shared" ref="E21:E52" si="0">+(C21-C$7)/C$8</f>
        <v>-45169.496357856799</v>
      </c>
      <c r="F21" s="1">
        <f t="shared" ref="F21:F52" si="1">ROUND(2*E21,0)/2</f>
        <v>-45169.5</v>
      </c>
      <c r="G21" s="1">
        <f t="shared" ref="G21:G52" si="2">+C21-(C$7+F21*C$8)</f>
        <v>1.2729649970424362E-3</v>
      </c>
      <c r="H21" s="1">
        <f>G21</f>
        <v>1.2729649970424362E-3</v>
      </c>
      <c r="O21" s="1">
        <f t="shared" ref="O21:O52" ca="1" si="3">+C$11+C$12*$F21</f>
        <v>-3.2200250010598806E-2</v>
      </c>
      <c r="Q21" s="72">
        <f t="shared" ref="Q21:Q52" si="4">+C21-15018.5</f>
        <v>22329.023999999998</v>
      </c>
    </row>
    <row r="22" spans="1:21" x14ac:dyDescent="0.2">
      <c r="A22" s="23" t="s">
        <v>45</v>
      </c>
      <c r="B22" s="24" t="s">
        <v>46</v>
      </c>
      <c r="C22" s="25">
        <v>51305.375999999997</v>
      </c>
      <c r="D22" s="21"/>
      <c r="E22" s="1">
        <f t="shared" si="0"/>
        <v>-5233.9946794635689</v>
      </c>
      <c r="F22" s="1">
        <f t="shared" si="1"/>
        <v>-5234</v>
      </c>
      <c r="G22" s="1">
        <f t="shared" si="2"/>
        <v>1.8595799992908724E-3</v>
      </c>
      <c r="K22" s="1">
        <f>+G22</f>
        <v>1.8595799992908724E-3</v>
      </c>
      <c r="O22" s="1">
        <f t="shared" ca="1" si="3"/>
        <v>-6.637890694491045E-3</v>
      </c>
      <c r="Q22" s="72">
        <f t="shared" si="4"/>
        <v>36286.875999999997</v>
      </c>
    </row>
    <row r="23" spans="1:21" x14ac:dyDescent="0.2">
      <c r="A23" s="23" t="s">
        <v>47</v>
      </c>
      <c r="B23" s="24" t="s">
        <v>46</v>
      </c>
      <c r="C23" s="25">
        <v>51974.519</v>
      </c>
      <c r="D23" s="21"/>
      <c r="E23" s="1">
        <f t="shared" si="0"/>
        <v>-3319.4765000484826</v>
      </c>
      <c r="F23" s="1">
        <f t="shared" si="1"/>
        <v>-3319.5</v>
      </c>
      <c r="G23" s="1">
        <f t="shared" si="2"/>
        <v>8.2134650001535192E-3</v>
      </c>
      <c r="K23" s="1">
        <f>+G23</f>
        <v>8.2134650001535192E-3</v>
      </c>
      <c r="O23" s="1">
        <f t="shared" ca="1" si="3"/>
        <v>-5.4124362263940308E-3</v>
      </c>
      <c r="Q23" s="72">
        <f t="shared" si="4"/>
        <v>36956.019</v>
      </c>
    </row>
    <row r="24" spans="1:21" x14ac:dyDescent="0.2">
      <c r="A24" s="26" t="s">
        <v>48</v>
      </c>
      <c r="B24" s="27" t="s">
        <v>46</v>
      </c>
      <c r="C24" s="21">
        <v>53134.708299999998</v>
      </c>
      <c r="D24" s="21">
        <v>2.0000000000000001E-4</v>
      </c>
      <c r="E24" s="1">
        <f t="shared" si="0"/>
        <v>-1.4305747700940543E-3</v>
      </c>
      <c r="F24" s="1">
        <f t="shared" si="1"/>
        <v>0</v>
      </c>
      <c r="G24" s="1">
        <f t="shared" si="2"/>
        <v>-5.0000000192085281E-4</v>
      </c>
      <c r="K24" s="1">
        <f>+G24</f>
        <v>-5.0000000192085281E-4</v>
      </c>
      <c r="O24" s="1">
        <f t="shared" ca="1" si="3"/>
        <v>-3.2876537208583619E-3</v>
      </c>
      <c r="Q24" s="72">
        <f t="shared" si="4"/>
        <v>38116.208299999998</v>
      </c>
    </row>
    <row r="25" spans="1:21" x14ac:dyDescent="0.2">
      <c r="A25" s="28" t="s">
        <v>49</v>
      </c>
      <c r="B25" s="29"/>
      <c r="C25" s="30">
        <v>53451.535499999998</v>
      </c>
      <c r="D25" s="30">
        <v>8.9999999999999998E-4</v>
      </c>
      <c r="E25" s="1">
        <f t="shared" si="0"/>
        <v>906.48856354184738</v>
      </c>
      <c r="F25" s="1">
        <f t="shared" si="1"/>
        <v>906.5</v>
      </c>
      <c r="G25" s="1">
        <f t="shared" si="2"/>
        <v>-3.9971549995243549E-3</v>
      </c>
      <c r="J25" s="1">
        <f>+G25</f>
        <v>-3.9971549995243549E-3</v>
      </c>
      <c r="O25" s="1">
        <f t="shared" ca="1" si="3"/>
        <v>-2.707411111649721E-3</v>
      </c>
      <c r="Q25" s="72">
        <f t="shared" si="4"/>
        <v>38433.035499999998</v>
      </c>
    </row>
    <row r="26" spans="1:21" x14ac:dyDescent="0.2">
      <c r="A26" s="31" t="s">
        <v>50</v>
      </c>
      <c r="B26" s="33"/>
      <c r="C26" s="30">
        <v>53821.6682</v>
      </c>
      <c r="D26" s="30">
        <v>5.0000000000000001E-4</v>
      </c>
      <c r="E26" s="1">
        <f t="shared" si="0"/>
        <v>1965.4935638870506</v>
      </c>
      <c r="F26" s="1">
        <f t="shared" si="1"/>
        <v>1965.5</v>
      </c>
      <c r="G26" s="1">
        <f t="shared" si="2"/>
        <v>-2.2494849981740117E-3</v>
      </c>
      <c r="K26" s="1">
        <f t="shared" ref="K26:K32" si="5">+G26</f>
        <v>-2.2494849981740117E-3</v>
      </c>
      <c r="O26" s="1">
        <f t="shared" ca="1" si="3"/>
        <v>-2.0295546051390194E-3</v>
      </c>
      <c r="Q26" s="72">
        <f t="shared" si="4"/>
        <v>38803.1682</v>
      </c>
    </row>
    <row r="27" spans="1:21" x14ac:dyDescent="0.2">
      <c r="A27" s="23" t="s">
        <v>51</v>
      </c>
      <c r="B27" s="24" t="s">
        <v>46</v>
      </c>
      <c r="C27" s="25">
        <v>54529.253700000001</v>
      </c>
      <c r="D27" s="21"/>
      <c r="E27" s="1">
        <f t="shared" si="0"/>
        <v>3990.0014840782628</v>
      </c>
      <c r="F27" s="1">
        <f t="shared" si="1"/>
        <v>3990</v>
      </c>
      <c r="G27" s="1">
        <f t="shared" si="2"/>
        <v>5.1869999879272655E-4</v>
      </c>
      <c r="K27" s="1">
        <f t="shared" si="5"/>
        <v>5.1869999879272655E-4</v>
      </c>
      <c r="O27" s="1">
        <f t="shared" ca="1" si="3"/>
        <v>-7.3369011275855201E-4</v>
      </c>
      <c r="Q27" s="72">
        <f t="shared" si="4"/>
        <v>39510.753700000001</v>
      </c>
    </row>
    <row r="28" spans="1:21" x14ac:dyDescent="0.2">
      <c r="A28" s="23" t="s">
        <v>51</v>
      </c>
      <c r="B28" s="24" t="s">
        <v>46</v>
      </c>
      <c r="C28" s="25">
        <v>54562.981200000002</v>
      </c>
      <c r="D28" s="21"/>
      <c r="E28" s="1">
        <f t="shared" si="0"/>
        <v>4086.5009048242378</v>
      </c>
      <c r="F28" s="1">
        <f t="shared" si="1"/>
        <v>4086.5</v>
      </c>
      <c r="G28" s="1">
        <f t="shared" si="2"/>
        <v>3.1624500115867704E-4</v>
      </c>
      <c r="K28" s="1">
        <f t="shared" si="5"/>
        <v>3.1624500115867704E-4</v>
      </c>
      <c r="O28" s="1">
        <f t="shared" ca="1" si="3"/>
        <v>-6.7192131872806805E-4</v>
      </c>
      <c r="Q28" s="72">
        <f t="shared" si="4"/>
        <v>39544.481200000002</v>
      </c>
    </row>
    <row r="29" spans="1:21" x14ac:dyDescent="0.2">
      <c r="A29" s="30" t="s">
        <v>52</v>
      </c>
      <c r="B29" s="33" t="s">
        <v>53</v>
      </c>
      <c r="C29" s="30">
        <v>54862.860999999997</v>
      </c>
      <c r="D29" s="30">
        <v>1.1999999999999999E-3</v>
      </c>
      <c r="E29" s="1">
        <f t="shared" si="0"/>
        <v>4944.5018534097389</v>
      </c>
      <c r="F29" s="1">
        <f t="shared" si="1"/>
        <v>4944.5</v>
      </c>
      <c r="G29" s="1">
        <f t="shared" si="2"/>
        <v>6.4778499654494226E-4</v>
      </c>
      <c r="K29" s="1">
        <f t="shared" si="5"/>
        <v>6.4778499654494226E-4</v>
      </c>
      <c r="O29" s="1">
        <f t="shared" ca="1" si="3"/>
        <v>-1.2272312931713159E-4</v>
      </c>
      <c r="Q29" s="72">
        <f t="shared" si="4"/>
        <v>39844.360999999997</v>
      </c>
    </row>
    <row r="30" spans="1:21" x14ac:dyDescent="0.2">
      <c r="A30" s="30" t="s">
        <v>52</v>
      </c>
      <c r="B30" s="33" t="s">
        <v>46</v>
      </c>
      <c r="C30" s="30">
        <v>54890.647900000004</v>
      </c>
      <c r="D30" s="30">
        <v>2.0000000000000001E-4</v>
      </c>
      <c r="E30" s="1">
        <f t="shared" si="0"/>
        <v>5024.0043292625851</v>
      </c>
      <c r="F30" s="1">
        <f t="shared" si="1"/>
        <v>5024</v>
      </c>
      <c r="G30" s="1">
        <f t="shared" si="2"/>
        <v>1.5131200052564964E-3</v>
      </c>
      <c r="K30" s="1">
        <f t="shared" si="5"/>
        <v>1.5131200052564964E-3</v>
      </c>
      <c r="O30" s="1">
        <f t="shared" ca="1" si="3"/>
        <v>-7.1835884494090077E-5</v>
      </c>
      <c r="Q30" s="72">
        <f t="shared" si="4"/>
        <v>39872.147900000004</v>
      </c>
    </row>
    <row r="31" spans="1:21" x14ac:dyDescent="0.2">
      <c r="A31" s="30" t="s">
        <v>52</v>
      </c>
      <c r="B31" s="33" t="s">
        <v>53</v>
      </c>
      <c r="C31" s="30">
        <v>54890.819900000002</v>
      </c>
      <c r="D31" s="30">
        <v>4.0000000000000002E-4</v>
      </c>
      <c r="E31" s="1">
        <f t="shared" si="0"/>
        <v>5024.4964469816032</v>
      </c>
      <c r="F31" s="1">
        <f t="shared" si="1"/>
        <v>5024.5</v>
      </c>
      <c r="G31" s="1">
        <f t="shared" si="2"/>
        <v>-1.2418149999575689E-3</v>
      </c>
      <c r="K31" s="1">
        <f t="shared" si="5"/>
        <v>-1.2418149999575689E-3</v>
      </c>
      <c r="O31" s="1">
        <f t="shared" ca="1" si="3"/>
        <v>-7.1515838929165146E-5</v>
      </c>
      <c r="Q31" s="72">
        <f t="shared" si="4"/>
        <v>39872.319900000002</v>
      </c>
    </row>
    <row r="32" spans="1:21" x14ac:dyDescent="0.2">
      <c r="A32" s="34" t="s">
        <v>54</v>
      </c>
      <c r="B32" s="35" t="s">
        <v>46</v>
      </c>
      <c r="C32" s="34">
        <v>54923.501400000001</v>
      </c>
      <c r="D32" s="34">
        <v>4.0000000000000002E-4</v>
      </c>
      <c r="E32" s="1">
        <f t="shared" si="0"/>
        <v>5118.0031053200319</v>
      </c>
      <c r="F32" s="1">
        <f t="shared" si="1"/>
        <v>5118</v>
      </c>
      <c r="G32" s="1">
        <f t="shared" si="2"/>
        <v>1.0853400017367676E-3</v>
      </c>
      <c r="K32" s="1">
        <f t="shared" si="5"/>
        <v>1.0853400017367676E-3</v>
      </c>
      <c r="O32" s="1">
        <f t="shared" ca="1" si="3"/>
        <v>-1.1667318288229901E-5</v>
      </c>
      <c r="Q32" s="72">
        <f t="shared" si="4"/>
        <v>39905.001400000001</v>
      </c>
    </row>
    <row r="33" spans="1:17" x14ac:dyDescent="0.2">
      <c r="A33" s="34" t="s">
        <v>55</v>
      </c>
      <c r="B33" s="35" t="s">
        <v>46</v>
      </c>
      <c r="C33" s="34">
        <v>54931.365100000003</v>
      </c>
      <c r="D33" s="34">
        <v>5.9999999999999995E-4</v>
      </c>
      <c r="E33" s="1">
        <f t="shared" si="0"/>
        <v>5140.5023268727782</v>
      </c>
      <c r="F33" s="1">
        <f t="shared" si="1"/>
        <v>5140.5</v>
      </c>
      <c r="G33" s="1">
        <f t="shared" si="2"/>
        <v>8.1326500367140397E-4</v>
      </c>
      <c r="J33" s="1">
        <f>+G33</f>
        <v>8.1326500367140397E-4</v>
      </c>
      <c r="O33" s="1">
        <f t="shared" ca="1" si="3"/>
        <v>2.7347321333854972E-6</v>
      </c>
      <c r="Q33" s="72">
        <f t="shared" si="4"/>
        <v>39912.865100000003</v>
      </c>
    </row>
    <row r="34" spans="1:17" x14ac:dyDescent="0.2">
      <c r="A34" s="34" t="s">
        <v>55</v>
      </c>
      <c r="B34" s="35" t="s">
        <v>53</v>
      </c>
      <c r="C34" s="34">
        <v>54931.540300000001</v>
      </c>
      <c r="D34" s="34">
        <v>2.9999999999999997E-4</v>
      </c>
      <c r="E34" s="1">
        <f t="shared" si="0"/>
        <v>5141.0036002702882</v>
      </c>
      <c r="F34" s="1">
        <f t="shared" si="1"/>
        <v>5141</v>
      </c>
      <c r="G34" s="1">
        <f t="shared" si="2"/>
        <v>1.2583299976540729E-3</v>
      </c>
      <c r="J34" s="1">
        <f>+G34</f>
        <v>1.2583299976540729E-3</v>
      </c>
      <c r="O34" s="1">
        <f t="shared" ca="1" si="3"/>
        <v>3.0547776983104284E-6</v>
      </c>
      <c r="Q34" s="72">
        <f t="shared" si="4"/>
        <v>39913.040300000001</v>
      </c>
    </row>
    <row r="35" spans="1:17" x14ac:dyDescent="0.2">
      <c r="A35" s="34" t="s">
        <v>54</v>
      </c>
      <c r="B35" s="35" t="s">
        <v>46</v>
      </c>
      <c r="C35" s="34">
        <v>54942.375599999999</v>
      </c>
      <c r="D35" s="34">
        <v>6.9999999999999999E-4</v>
      </c>
      <c r="E35" s="1">
        <f t="shared" si="0"/>
        <v>5172.0050137639864</v>
      </c>
      <c r="F35" s="1">
        <f t="shared" si="1"/>
        <v>5172</v>
      </c>
      <c r="G35" s="1">
        <f t="shared" si="2"/>
        <v>1.7523599963169545E-3</v>
      </c>
      <c r="K35" s="1">
        <f t="shared" ref="K35:K46" si="6">+G35</f>
        <v>1.7523599963169545E-3</v>
      </c>
      <c r="O35" s="1">
        <f t="shared" ca="1" si="3"/>
        <v>2.2897602723647055E-5</v>
      </c>
      <c r="Q35" s="72">
        <f t="shared" si="4"/>
        <v>39923.875599999999</v>
      </c>
    </row>
    <row r="36" spans="1:17" x14ac:dyDescent="0.2">
      <c r="A36" s="34" t="s">
        <v>54</v>
      </c>
      <c r="B36" s="35" t="s">
        <v>53</v>
      </c>
      <c r="C36" s="34">
        <v>54942.548000000003</v>
      </c>
      <c r="D36" s="34">
        <v>5.0000000000000001E-4</v>
      </c>
      <c r="E36" s="1">
        <f t="shared" si="0"/>
        <v>5172.4982759428285</v>
      </c>
      <c r="F36" s="1">
        <f t="shared" si="1"/>
        <v>5172.5</v>
      </c>
      <c r="G36" s="1">
        <f t="shared" si="2"/>
        <v>-6.0257499717408791E-4</v>
      </c>
      <c r="K36" s="1">
        <f t="shared" si="6"/>
        <v>-6.0257499717408791E-4</v>
      </c>
      <c r="O36" s="1">
        <f t="shared" ca="1" si="3"/>
        <v>2.3217648288571986E-5</v>
      </c>
      <c r="Q36" s="72">
        <f t="shared" si="4"/>
        <v>39924.048000000003</v>
      </c>
    </row>
    <row r="37" spans="1:17" x14ac:dyDescent="0.2">
      <c r="A37" s="34" t="s">
        <v>54</v>
      </c>
      <c r="B37" s="35" t="s">
        <v>46</v>
      </c>
      <c r="C37" s="34">
        <v>54943.423000000003</v>
      </c>
      <c r="D37" s="34">
        <v>6.9999999999999999E-4</v>
      </c>
      <c r="E37" s="1">
        <f t="shared" si="0"/>
        <v>5175.0017817808757</v>
      </c>
      <c r="F37" s="1">
        <f t="shared" si="1"/>
        <v>5175</v>
      </c>
      <c r="G37" s="1">
        <f t="shared" si="2"/>
        <v>6.2275000527733937E-4</v>
      </c>
      <c r="K37" s="1">
        <f t="shared" si="6"/>
        <v>6.2275000527733937E-4</v>
      </c>
      <c r="O37" s="1">
        <f t="shared" ca="1" si="3"/>
        <v>2.4817876113195775E-5</v>
      </c>
      <c r="Q37" s="72">
        <f t="shared" si="4"/>
        <v>39924.923000000003</v>
      </c>
    </row>
    <row r="38" spans="1:17" x14ac:dyDescent="0.2">
      <c r="A38" s="34" t="s">
        <v>54</v>
      </c>
      <c r="B38" s="35" t="s">
        <v>53</v>
      </c>
      <c r="C38" s="34">
        <v>54943.597099999999</v>
      </c>
      <c r="D38" s="34">
        <v>8.9999999999999998E-4</v>
      </c>
      <c r="E38" s="1">
        <f t="shared" si="0"/>
        <v>5175.4999079138988</v>
      </c>
      <c r="F38" s="1">
        <f t="shared" si="1"/>
        <v>5175.5</v>
      </c>
      <c r="G38" s="1">
        <f t="shared" si="2"/>
        <v>-3.2185002055484802E-5</v>
      </c>
      <c r="K38" s="1">
        <f t="shared" si="6"/>
        <v>-3.2185002055484802E-5</v>
      </c>
      <c r="O38" s="1">
        <f t="shared" ca="1" si="3"/>
        <v>2.5137921678120706E-5</v>
      </c>
      <c r="Q38" s="72">
        <f t="shared" si="4"/>
        <v>39925.097099999999</v>
      </c>
    </row>
    <row r="39" spans="1:17" x14ac:dyDescent="0.2">
      <c r="A39" s="34" t="s">
        <v>54</v>
      </c>
      <c r="B39" s="35" t="s">
        <v>46</v>
      </c>
      <c r="C39" s="34">
        <v>54944.472199999997</v>
      </c>
      <c r="D39" s="34">
        <v>6.9999999999999999E-4</v>
      </c>
      <c r="E39" s="1">
        <f t="shared" si="0"/>
        <v>5178.0036998668911</v>
      </c>
      <c r="F39" s="1">
        <f t="shared" si="1"/>
        <v>5178</v>
      </c>
      <c r="G39" s="1">
        <f t="shared" si="2"/>
        <v>1.29313999786973E-3</v>
      </c>
      <c r="K39" s="1">
        <f t="shared" si="6"/>
        <v>1.29313999786973E-3</v>
      </c>
      <c r="O39" s="1">
        <f t="shared" ca="1" si="3"/>
        <v>2.6738149502744928E-5</v>
      </c>
      <c r="Q39" s="72">
        <f t="shared" si="4"/>
        <v>39925.972199999997</v>
      </c>
    </row>
    <row r="40" spans="1:17" x14ac:dyDescent="0.2">
      <c r="A40" s="34" t="s">
        <v>56</v>
      </c>
      <c r="B40" s="35" t="s">
        <v>46</v>
      </c>
      <c r="C40" s="34">
        <v>55277.902300000002</v>
      </c>
      <c r="D40" s="34">
        <v>4.0000000000000002E-4</v>
      </c>
      <c r="E40" s="1">
        <f t="shared" si="0"/>
        <v>6131.9970735018187</v>
      </c>
      <c r="F40" s="1">
        <f t="shared" si="1"/>
        <v>6132</v>
      </c>
      <c r="G40" s="1">
        <f t="shared" si="2"/>
        <v>-1.0228399987681769E-3</v>
      </c>
      <c r="K40" s="1">
        <f t="shared" si="6"/>
        <v>-1.0228399987681769E-3</v>
      </c>
      <c r="O40" s="1">
        <f t="shared" ca="1" si="3"/>
        <v>6.3738508737924042E-4</v>
      </c>
      <c r="Q40" s="72">
        <f t="shared" si="4"/>
        <v>40259.402300000002</v>
      </c>
    </row>
    <row r="41" spans="1:17" x14ac:dyDescent="0.2">
      <c r="A41" s="23" t="s">
        <v>57</v>
      </c>
      <c r="B41" s="24" t="s">
        <v>53</v>
      </c>
      <c r="C41" s="25">
        <v>55292.408600000002</v>
      </c>
      <c r="D41" s="21"/>
      <c r="E41" s="1">
        <f t="shared" si="0"/>
        <v>6173.5017669172039</v>
      </c>
      <c r="F41" s="1">
        <f t="shared" si="1"/>
        <v>6173.5</v>
      </c>
      <c r="G41" s="1">
        <f t="shared" si="2"/>
        <v>6.1755500064464286E-4</v>
      </c>
      <c r="K41" s="1">
        <f t="shared" si="6"/>
        <v>6.1755500064464286E-4</v>
      </c>
      <c r="O41" s="1">
        <f t="shared" ca="1" si="3"/>
        <v>6.6394886926799844E-4</v>
      </c>
      <c r="Q41" s="72">
        <f t="shared" si="4"/>
        <v>40273.908600000002</v>
      </c>
    </row>
    <row r="42" spans="1:17" x14ac:dyDescent="0.2">
      <c r="A42" s="23" t="s">
        <v>57</v>
      </c>
      <c r="B42" s="24" t="s">
        <v>46</v>
      </c>
      <c r="C42" s="25">
        <v>55292.580999999998</v>
      </c>
      <c r="D42" s="21"/>
      <c r="E42" s="1">
        <f t="shared" si="0"/>
        <v>6173.9950290960251</v>
      </c>
      <c r="F42" s="1">
        <f t="shared" si="1"/>
        <v>6174</v>
      </c>
      <c r="G42" s="1">
        <f t="shared" si="2"/>
        <v>-1.7373800001223572E-3</v>
      </c>
      <c r="K42" s="1">
        <f t="shared" si="6"/>
        <v>-1.7373800001223572E-3</v>
      </c>
      <c r="O42" s="1">
        <f t="shared" ca="1" si="3"/>
        <v>6.642689148329225E-4</v>
      </c>
      <c r="Q42" s="72">
        <f t="shared" si="4"/>
        <v>40274.080999999998</v>
      </c>
    </row>
    <row r="43" spans="1:17" x14ac:dyDescent="0.2">
      <c r="A43" s="23" t="s">
        <v>57</v>
      </c>
      <c r="B43" s="24" t="s">
        <v>46</v>
      </c>
      <c r="C43" s="25">
        <v>55293.456899999997</v>
      </c>
      <c r="D43" s="21"/>
      <c r="E43" s="1">
        <f t="shared" si="0"/>
        <v>6176.5011099686453</v>
      </c>
      <c r="F43" s="1">
        <f t="shared" si="1"/>
        <v>6176.5</v>
      </c>
      <c r="G43" s="1">
        <f t="shared" si="2"/>
        <v>3.87944994145073E-4</v>
      </c>
      <c r="K43" s="1">
        <f t="shared" si="6"/>
        <v>3.87944994145073E-4</v>
      </c>
      <c r="O43" s="1">
        <f t="shared" ca="1" si="3"/>
        <v>6.6586914265754716E-4</v>
      </c>
      <c r="Q43" s="72">
        <f t="shared" si="4"/>
        <v>40274.956899999997</v>
      </c>
    </row>
    <row r="44" spans="1:17" x14ac:dyDescent="0.2">
      <c r="A44" s="23" t="s">
        <v>57</v>
      </c>
      <c r="B44" s="24" t="s">
        <v>46</v>
      </c>
      <c r="C44" s="25">
        <v>55303.415800000002</v>
      </c>
      <c r="D44" s="21"/>
      <c r="E44" s="1">
        <f t="shared" si="0"/>
        <v>6204.9950120149742</v>
      </c>
      <c r="F44" s="1">
        <f t="shared" si="1"/>
        <v>6205</v>
      </c>
      <c r="G44" s="1">
        <f t="shared" si="2"/>
        <v>-1.7433499961043708E-3</v>
      </c>
      <c r="K44" s="1">
        <f t="shared" si="6"/>
        <v>-1.7433499961043708E-3</v>
      </c>
      <c r="O44" s="1">
        <f t="shared" ca="1" si="3"/>
        <v>6.8411173985825956E-4</v>
      </c>
      <c r="Q44" s="72">
        <f t="shared" si="4"/>
        <v>40284.915800000002</v>
      </c>
    </row>
    <row r="45" spans="1:17" x14ac:dyDescent="0.2">
      <c r="A45" s="23" t="s">
        <v>57</v>
      </c>
      <c r="B45" s="24" t="s">
        <v>46</v>
      </c>
      <c r="C45" s="25">
        <v>55305.339899999999</v>
      </c>
      <c r="D45" s="21"/>
      <c r="E45" s="1">
        <f t="shared" si="0"/>
        <v>6210.5001498240917</v>
      </c>
      <c r="F45" s="1">
        <f t="shared" si="1"/>
        <v>6210.5</v>
      </c>
      <c r="G45" s="1">
        <f t="shared" si="2"/>
        <v>5.2365001465659589E-5</v>
      </c>
      <c r="K45" s="1">
        <f t="shared" si="6"/>
        <v>5.2365001465659589E-5</v>
      </c>
      <c r="O45" s="1">
        <f t="shared" ca="1" si="3"/>
        <v>6.8763224107243207E-4</v>
      </c>
      <c r="Q45" s="72">
        <f t="shared" si="4"/>
        <v>40286.839899999999</v>
      </c>
    </row>
    <row r="46" spans="1:17" x14ac:dyDescent="0.2">
      <c r="A46" s="23" t="s">
        <v>57</v>
      </c>
      <c r="B46" s="24" t="s">
        <v>53</v>
      </c>
      <c r="C46" s="25">
        <v>55305.512999999999</v>
      </c>
      <c r="D46" s="21"/>
      <c r="E46" s="1">
        <f t="shared" si="0"/>
        <v>6210.9954148075949</v>
      </c>
      <c r="F46" s="1">
        <f t="shared" si="1"/>
        <v>6211</v>
      </c>
      <c r="G46" s="1">
        <f t="shared" si="2"/>
        <v>-1.6025700024329126E-3</v>
      </c>
      <c r="K46" s="1">
        <f t="shared" si="6"/>
        <v>-1.6025700024329126E-3</v>
      </c>
      <c r="O46" s="1">
        <f t="shared" ca="1" si="3"/>
        <v>6.87952286637357E-4</v>
      </c>
      <c r="Q46" s="72">
        <f t="shared" si="4"/>
        <v>40287.012999999999</v>
      </c>
    </row>
    <row r="47" spans="1:17" x14ac:dyDescent="0.2">
      <c r="A47" s="34" t="s">
        <v>58</v>
      </c>
      <c r="B47" s="35" t="s">
        <v>46</v>
      </c>
      <c r="C47" s="34">
        <v>55311.454299999998</v>
      </c>
      <c r="D47" s="34">
        <v>1.5E-3</v>
      </c>
      <c r="E47" s="1">
        <f t="shared" si="0"/>
        <v>6227.9943625054057</v>
      </c>
      <c r="F47" s="1">
        <f t="shared" si="1"/>
        <v>6228</v>
      </c>
      <c r="G47" s="1">
        <f t="shared" si="2"/>
        <v>-1.9703600046341307E-3</v>
      </c>
      <c r="J47" s="1">
        <f>+G47</f>
        <v>-1.9703600046341307E-3</v>
      </c>
      <c r="O47" s="1">
        <f t="shared" ca="1" si="3"/>
        <v>6.9883383584480032E-4</v>
      </c>
      <c r="Q47" s="72">
        <f t="shared" si="4"/>
        <v>40292.954299999998</v>
      </c>
    </row>
    <row r="48" spans="1:17" x14ac:dyDescent="0.2">
      <c r="A48" s="26" t="s">
        <v>59</v>
      </c>
      <c r="B48" s="36" t="s">
        <v>46</v>
      </c>
      <c r="C48" s="26">
        <v>55615.882100000003</v>
      </c>
      <c r="D48" s="26">
        <v>5.0000000000000001E-4</v>
      </c>
      <c r="E48" s="1">
        <f t="shared" si="0"/>
        <v>7099.0078191497205</v>
      </c>
      <c r="F48" s="1">
        <f t="shared" si="1"/>
        <v>7099</v>
      </c>
      <c r="G48" s="1">
        <f t="shared" si="2"/>
        <v>2.7328700016369112E-3</v>
      </c>
      <c r="K48" s="1">
        <f>+G48</f>
        <v>2.7328700016369112E-3</v>
      </c>
      <c r="O48" s="1">
        <f t="shared" ca="1" si="3"/>
        <v>1.2563532099437807E-3</v>
      </c>
      <c r="Q48" s="72">
        <f t="shared" si="4"/>
        <v>40597.382100000003</v>
      </c>
    </row>
    <row r="49" spans="1:17" x14ac:dyDescent="0.2">
      <c r="A49" s="26" t="s">
        <v>60</v>
      </c>
      <c r="B49" s="36" t="s">
        <v>53</v>
      </c>
      <c r="C49" s="26">
        <v>55660.444100000001</v>
      </c>
      <c r="D49" s="26">
        <v>5.9999999999999995E-4</v>
      </c>
      <c r="E49" s="1">
        <f t="shared" si="0"/>
        <v>7226.5063644697657</v>
      </c>
      <c r="F49" s="1">
        <f t="shared" si="1"/>
        <v>7226.5</v>
      </c>
      <c r="G49" s="1">
        <f t="shared" si="2"/>
        <v>2.2244450010475703E-3</v>
      </c>
      <c r="J49" s="1">
        <f>+G49</f>
        <v>2.2244450010475703E-3</v>
      </c>
      <c r="O49" s="1">
        <f t="shared" ca="1" si="3"/>
        <v>1.3379648289996017E-3</v>
      </c>
      <c r="Q49" s="72">
        <f t="shared" si="4"/>
        <v>40641.944100000001</v>
      </c>
    </row>
    <row r="50" spans="1:17" x14ac:dyDescent="0.2">
      <c r="A50" s="34" t="s">
        <v>60</v>
      </c>
      <c r="B50" s="35" t="s">
        <v>46</v>
      </c>
      <c r="C50" s="34">
        <v>55660.619299999998</v>
      </c>
      <c r="D50" s="34">
        <v>8.0000000000000004E-4</v>
      </c>
      <c r="E50" s="1">
        <f t="shared" si="0"/>
        <v>7227.0076378672748</v>
      </c>
      <c r="F50" s="1">
        <f t="shared" si="1"/>
        <v>7227</v>
      </c>
      <c r="G50" s="1">
        <f t="shared" si="2"/>
        <v>2.6695099950302392E-3</v>
      </c>
      <c r="J50" s="1">
        <f>+G50</f>
        <v>2.6695099950302392E-3</v>
      </c>
      <c r="O50" s="1">
        <f t="shared" ca="1" si="3"/>
        <v>1.3382848745645266E-3</v>
      </c>
      <c r="Q50" s="72">
        <f t="shared" si="4"/>
        <v>40642.119299999998</v>
      </c>
    </row>
    <row r="51" spans="1:17" x14ac:dyDescent="0.2">
      <c r="A51" s="30" t="s">
        <v>61</v>
      </c>
      <c r="B51" s="33" t="s">
        <v>46</v>
      </c>
      <c r="C51" s="30">
        <v>55968.885900000001</v>
      </c>
      <c r="D51" s="30">
        <v>8.0000000000000004E-4</v>
      </c>
      <c r="E51" s="1">
        <f t="shared" si="0"/>
        <v>8109.004475324261</v>
      </c>
      <c r="F51" s="1">
        <f t="shared" si="1"/>
        <v>8109</v>
      </c>
      <c r="G51" s="1">
        <f t="shared" si="2"/>
        <v>1.5641700010746717E-3</v>
      </c>
      <c r="K51" s="1">
        <f t="shared" ref="K51:K56" si="7">+G51</f>
        <v>1.5641700010746717E-3</v>
      </c>
      <c r="O51" s="1">
        <f t="shared" ca="1" si="3"/>
        <v>1.9028452510918528E-3</v>
      </c>
      <c r="Q51" s="72">
        <f t="shared" si="4"/>
        <v>40950.385900000001</v>
      </c>
    </row>
    <row r="52" spans="1:17" x14ac:dyDescent="0.2">
      <c r="A52" s="30" t="s">
        <v>61</v>
      </c>
      <c r="B52" s="33" t="s">
        <v>46</v>
      </c>
      <c r="C52" s="30">
        <v>56036.689599999998</v>
      </c>
      <c r="D52" s="30">
        <v>5.9999999999999995E-4</v>
      </c>
      <c r="E52" s="1">
        <f t="shared" si="0"/>
        <v>8303.0009996570261</v>
      </c>
      <c r="F52" s="1">
        <f t="shared" si="1"/>
        <v>8303</v>
      </c>
      <c r="G52" s="1">
        <f t="shared" si="2"/>
        <v>3.4939000033773482E-4</v>
      </c>
      <c r="K52" s="1">
        <f t="shared" si="7"/>
        <v>3.4939000033773482E-4</v>
      </c>
      <c r="O52" s="1">
        <f t="shared" ca="1" si="3"/>
        <v>2.0270229302826706E-3</v>
      </c>
      <c r="Q52" s="72">
        <f t="shared" si="4"/>
        <v>41018.189599999998</v>
      </c>
    </row>
    <row r="53" spans="1:17" x14ac:dyDescent="0.2">
      <c r="A53" s="37" t="s">
        <v>62</v>
      </c>
      <c r="B53" s="38" t="s">
        <v>46</v>
      </c>
      <c r="C53" s="37">
        <v>56355.446600000003</v>
      </c>
      <c r="D53" s="37">
        <v>1.1999999999999999E-3</v>
      </c>
      <c r="E53" s="1">
        <f t="shared" ref="E53:E73" si="8">+(C53-C$7)/C$8</f>
        <v>9215.0124401351022</v>
      </c>
      <c r="F53" s="1">
        <f t="shared" ref="F53:F74" si="9">ROUND(2*E53,0)/2</f>
        <v>9215</v>
      </c>
      <c r="G53" s="1">
        <f t="shared" ref="G53:G73" si="10">+C53-(C$7+F53*C$8)</f>
        <v>4.3479500018293038E-3</v>
      </c>
      <c r="K53" s="1">
        <f t="shared" si="7"/>
        <v>4.3479500018293038E-3</v>
      </c>
      <c r="O53" s="1">
        <f t="shared" ref="O53:O73" ca="1" si="11">+C$11+C$12*$F53</f>
        <v>2.6107860407054849E-3</v>
      </c>
      <c r="Q53" s="72">
        <f t="shared" ref="Q53:Q73" si="12">+C53-15018.5</f>
        <v>41336.946600000003</v>
      </c>
    </row>
    <row r="54" spans="1:17" x14ac:dyDescent="0.2">
      <c r="A54" s="37" t="s">
        <v>62</v>
      </c>
      <c r="B54" s="38" t="s">
        <v>53</v>
      </c>
      <c r="C54" s="37">
        <v>56356.320500000002</v>
      </c>
      <c r="D54" s="37">
        <v>5.0000000000000001E-4</v>
      </c>
      <c r="E54" s="1">
        <f t="shared" si="8"/>
        <v>9217.5127987086635</v>
      </c>
      <c r="F54" s="1">
        <f t="shared" si="9"/>
        <v>9217.5</v>
      </c>
      <c r="G54" s="1">
        <f t="shared" si="10"/>
        <v>4.4732750029652379E-3</v>
      </c>
      <c r="K54" s="1">
        <f t="shared" si="7"/>
        <v>4.4732750029652379E-3</v>
      </c>
      <c r="O54" s="1">
        <f t="shared" ca="1" si="11"/>
        <v>2.6123862685301087E-3</v>
      </c>
      <c r="Q54" s="72">
        <f t="shared" si="12"/>
        <v>41337.820500000002</v>
      </c>
    </row>
    <row r="55" spans="1:17" x14ac:dyDescent="0.2">
      <c r="A55" s="37" t="s">
        <v>62</v>
      </c>
      <c r="B55" s="38" t="s">
        <v>46</v>
      </c>
      <c r="C55" s="37">
        <v>56356.494299999998</v>
      </c>
      <c r="D55" s="37">
        <v>8.9999999999999998E-4</v>
      </c>
      <c r="E55" s="1">
        <f t="shared" si="8"/>
        <v>9218.0100664968286</v>
      </c>
      <c r="F55" s="1">
        <f t="shared" si="9"/>
        <v>9218</v>
      </c>
      <c r="G55" s="1">
        <f t="shared" si="10"/>
        <v>3.5183399959350936E-3</v>
      </c>
      <c r="K55" s="1">
        <f t="shared" si="7"/>
        <v>3.5183399959350936E-3</v>
      </c>
      <c r="O55" s="1">
        <f t="shared" ca="1" si="11"/>
        <v>2.6127063140950336E-3</v>
      </c>
      <c r="Q55" s="72">
        <f t="shared" si="12"/>
        <v>41337.994299999998</v>
      </c>
    </row>
    <row r="56" spans="1:17" x14ac:dyDescent="0.2">
      <c r="A56" s="39" t="s">
        <v>63</v>
      </c>
      <c r="B56" s="33"/>
      <c r="C56" s="30">
        <v>56359.8145</v>
      </c>
      <c r="D56" s="30">
        <v>2.0000000000000001E-4</v>
      </c>
      <c r="E56" s="1">
        <f t="shared" si="8"/>
        <v>9227.5096551636725</v>
      </c>
      <c r="F56" s="1">
        <f t="shared" si="9"/>
        <v>9227.5</v>
      </c>
      <c r="G56" s="1">
        <f t="shared" si="10"/>
        <v>3.374574996996671E-3</v>
      </c>
      <c r="K56" s="1">
        <f t="shared" si="7"/>
        <v>3.374574996996671E-3</v>
      </c>
      <c r="O56" s="1">
        <f t="shared" ca="1" si="11"/>
        <v>2.6187871798286047E-3</v>
      </c>
      <c r="Q56" s="72">
        <f t="shared" si="12"/>
        <v>41341.3145</v>
      </c>
    </row>
    <row r="57" spans="1:17" x14ac:dyDescent="0.2">
      <c r="A57" s="40" t="s">
        <v>64</v>
      </c>
      <c r="B57" s="41"/>
      <c r="C57" s="40">
        <v>56397.386100000003</v>
      </c>
      <c r="D57" s="40">
        <v>1E-4</v>
      </c>
      <c r="E57" s="1">
        <f t="shared" si="8"/>
        <v>9335.0076208148366</v>
      </c>
      <c r="F57" s="1">
        <f t="shared" si="9"/>
        <v>9335</v>
      </c>
      <c r="G57" s="1">
        <f t="shared" si="10"/>
        <v>2.6635500034899451E-3</v>
      </c>
      <c r="J57" s="1">
        <f>+G57</f>
        <v>2.6635500034899451E-3</v>
      </c>
      <c r="O57" s="1">
        <f t="shared" ca="1" si="11"/>
        <v>2.6875969762874337E-3</v>
      </c>
      <c r="Q57" s="72">
        <f t="shared" si="12"/>
        <v>41378.886100000003</v>
      </c>
    </row>
    <row r="58" spans="1:17" x14ac:dyDescent="0.2">
      <c r="A58" s="23" t="s">
        <v>65</v>
      </c>
      <c r="B58" s="24" t="s">
        <v>46</v>
      </c>
      <c r="C58" s="25">
        <v>56409.269699999997</v>
      </c>
      <c r="D58" s="21"/>
      <c r="E58" s="1">
        <f t="shared" si="8"/>
        <v>9369.0083773599781</v>
      </c>
      <c r="F58" s="1">
        <f t="shared" si="9"/>
        <v>9369</v>
      </c>
      <c r="G58" s="1">
        <f t="shared" si="10"/>
        <v>2.9279699956532568E-3</v>
      </c>
      <c r="K58" s="1">
        <f>+G58</f>
        <v>2.9279699956532568E-3</v>
      </c>
      <c r="O58" s="1">
        <f t="shared" ca="1" si="11"/>
        <v>2.7093600747023195E-3</v>
      </c>
      <c r="Q58" s="72">
        <f t="shared" si="12"/>
        <v>41390.769699999997</v>
      </c>
    </row>
    <row r="59" spans="1:17" x14ac:dyDescent="0.2">
      <c r="A59" s="42" t="s">
        <v>66</v>
      </c>
      <c r="B59" s="33" t="s">
        <v>53</v>
      </c>
      <c r="C59" s="30">
        <v>56409.269800000002</v>
      </c>
      <c r="D59" s="30">
        <v>1E-4</v>
      </c>
      <c r="E59" s="1">
        <f t="shared" si="8"/>
        <v>9369.0086634749441</v>
      </c>
      <c r="F59" s="1">
        <f t="shared" si="9"/>
        <v>9369</v>
      </c>
      <c r="G59" s="1">
        <f t="shared" si="10"/>
        <v>3.0279700004030019E-3</v>
      </c>
      <c r="K59" s="1">
        <f>+G59</f>
        <v>3.0279700004030019E-3</v>
      </c>
      <c r="O59" s="1">
        <f t="shared" ca="1" si="11"/>
        <v>2.7093600747023195E-3</v>
      </c>
      <c r="Q59" s="72">
        <f t="shared" si="12"/>
        <v>41390.769800000002</v>
      </c>
    </row>
    <row r="60" spans="1:17" x14ac:dyDescent="0.2">
      <c r="A60" s="43" t="s">
        <v>67</v>
      </c>
      <c r="B60" s="29" t="s">
        <v>46</v>
      </c>
      <c r="C60" s="43">
        <v>56730.4683</v>
      </c>
      <c r="D60" s="43">
        <v>1.4E-3</v>
      </c>
      <c r="E60" s="1">
        <f t="shared" si="8"/>
        <v>10288.005600528535</v>
      </c>
      <c r="F60" s="1">
        <f t="shared" si="9"/>
        <v>10288</v>
      </c>
      <c r="G60" s="1">
        <f t="shared" si="10"/>
        <v>1.9574399993871339E-3</v>
      </c>
      <c r="J60" s="1">
        <f>+G60</f>
        <v>1.9574399993871339E-3</v>
      </c>
      <c r="O60" s="1">
        <f t="shared" ca="1" si="11"/>
        <v>3.2976038230340802E-3</v>
      </c>
      <c r="Q60" s="72">
        <f t="shared" si="12"/>
        <v>41711.9683</v>
      </c>
    </row>
    <row r="61" spans="1:17" x14ac:dyDescent="0.2">
      <c r="A61" s="43" t="s">
        <v>67</v>
      </c>
      <c r="B61" s="29" t="s">
        <v>46</v>
      </c>
      <c r="C61" s="43">
        <v>56730.643499999998</v>
      </c>
      <c r="D61" s="43">
        <v>5.9999999999999995E-4</v>
      </c>
      <c r="E61" s="1">
        <f t="shared" si="8"/>
        <v>10288.506873926044</v>
      </c>
      <c r="F61" s="1">
        <f t="shared" si="9"/>
        <v>10288.5</v>
      </c>
      <c r="G61" s="1">
        <f t="shared" si="10"/>
        <v>2.4025050006457604E-3</v>
      </c>
      <c r="J61" s="1">
        <f>+G61</f>
        <v>2.4025050006457604E-3</v>
      </c>
      <c r="O61" s="1">
        <f t="shared" ca="1" si="11"/>
        <v>3.2979238685990051E-3</v>
      </c>
      <c r="Q61" s="72">
        <f t="shared" si="12"/>
        <v>41712.143499999998</v>
      </c>
    </row>
    <row r="62" spans="1:17" x14ac:dyDescent="0.2">
      <c r="A62" s="43" t="s">
        <v>67</v>
      </c>
      <c r="B62" s="29" t="s">
        <v>46</v>
      </c>
      <c r="C62" s="43">
        <v>56737.458400000003</v>
      </c>
      <c r="D62" s="43">
        <v>4.0000000000000002E-4</v>
      </c>
      <c r="E62" s="1">
        <f t="shared" si="8"/>
        <v>10308.005321852579</v>
      </c>
      <c r="F62" s="1">
        <f t="shared" si="9"/>
        <v>10308</v>
      </c>
      <c r="G62" s="1">
        <f t="shared" si="10"/>
        <v>1.8600399998831563E-3</v>
      </c>
      <c r="J62" s="1">
        <f>+G62</f>
        <v>1.8600399998831563E-3</v>
      </c>
      <c r="O62" s="1">
        <f t="shared" ca="1" si="11"/>
        <v>3.3104056456310714E-3</v>
      </c>
      <c r="Q62" s="72">
        <f t="shared" si="12"/>
        <v>41718.958400000003</v>
      </c>
    </row>
    <row r="63" spans="1:17" x14ac:dyDescent="0.2">
      <c r="A63" s="43" t="s">
        <v>67</v>
      </c>
      <c r="B63" s="29" t="s">
        <v>46</v>
      </c>
      <c r="C63" s="43">
        <v>56737.635399999999</v>
      </c>
      <c r="D63" s="43">
        <v>5.9999999999999995E-4</v>
      </c>
      <c r="E63" s="1">
        <f t="shared" si="8"/>
        <v>10308.511745319234</v>
      </c>
      <c r="F63" s="1">
        <f t="shared" si="9"/>
        <v>10308.5</v>
      </c>
      <c r="G63" s="1">
        <f t="shared" si="10"/>
        <v>4.1051049993257038E-3</v>
      </c>
      <c r="J63" s="1">
        <f>+G63</f>
        <v>4.1051049993257038E-3</v>
      </c>
      <c r="O63" s="1">
        <f t="shared" ca="1" si="11"/>
        <v>3.3107256911959963E-3</v>
      </c>
      <c r="Q63" s="72">
        <f t="shared" si="12"/>
        <v>41719.135399999999</v>
      </c>
    </row>
    <row r="64" spans="1:17" x14ac:dyDescent="0.2">
      <c r="A64" s="37" t="s">
        <v>62</v>
      </c>
      <c r="B64" s="38" t="s">
        <v>46</v>
      </c>
      <c r="C64" s="37">
        <v>56745.495199999998</v>
      </c>
      <c r="D64" s="37">
        <v>1.1000000000000001E-3</v>
      </c>
      <c r="E64" s="1">
        <f t="shared" si="8"/>
        <v>10330.999808388808</v>
      </c>
      <c r="F64" s="1">
        <f t="shared" si="9"/>
        <v>10331</v>
      </c>
      <c r="G64" s="1">
        <f t="shared" si="10"/>
        <v>-6.6970002080779523E-5</v>
      </c>
      <c r="K64" s="1">
        <f>+G64</f>
        <v>-6.6970002080779523E-5</v>
      </c>
      <c r="O64" s="1">
        <f t="shared" ca="1" si="11"/>
        <v>3.3251277416176121E-3</v>
      </c>
      <c r="Q64" s="72">
        <f t="shared" si="12"/>
        <v>41726.995199999998</v>
      </c>
    </row>
    <row r="65" spans="1:17" x14ac:dyDescent="0.2">
      <c r="A65" s="37" t="s">
        <v>62</v>
      </c>
      <c r="B65" s="38" t="s">
        <v>53</v>
      </c>
      <c r="C65" s="37">
        <v>56746.370199999998</v>
      </c>
      <c r="D65" s="37">
        <v>2.0000000000000001E-4</v>
      </c>
      <c r="E65" s="1">
        <f t="shared" si="8"/>
        <v>10333.503314226855</v>
      </c>
      <c r="F65" s="1">
        <f t="shared" si="9"/>
        <v>10333.5</v>
      </c>
      <c r="G65" s="1">
        <f t="shared" si="10"/>
        <v>1.1583550003706478E-3</v>
      </c>
      <c r="K65" s="1">
        <f>+G65</f>
        <v>1.1583550003706478E-3</v>
      </c>
      <c r="O65" s="1">
        <f t="shared" ca="1" si="11"/>
        <v>3.3267279694422359E-3</v>
      </c>
      <c r="Q65" s="72">
        <f t="shared" si="12"/>
        <v>41727.870199999998</v>
      </c>
    </row>
    <row r="66" spans="1:17" x14ac:dyDescent="0.2">
      <c r="A66" s="37" t="s">
        <v>62</v>
      </c>
      <c r="B66" s="38" t="s">
        <v>46</v>
      </c>
      <c r="C66" s="37">
        <v>56746.544399999999</v>
      </c>
      <c r="D66" s="37">
        <v>2.0000000000000001E-4</v>
      </c>
      <c r="E66" s="1">
        <f t="shared" si="8"/>
        <v>10334.001726474844</v>
      </c>
      <c r="F66" s="1">
        <f t="shared" si="9"/>
        <v>10334</v>
      </c>
      <c r="G66" s="1">
        <f t="shared" si="10"/>
        <v>6.0341999778756872E-4</v>
      </c>
      <c r="K66" s="1">
        <f>+G66</f>
        <v>6.0341999778756872E-4</v>
      </c>
      <c r="O66" s="1">
        <f t="shared" ca="1" si="11"/>
        <v>3.3270480150071609E-3</v>
      </c>
      <c r="Q66" s="72">
        <f t="shared" si="12"/>
        <v>41728.044399999999</v>
      </c>
    </row>
    <row r="67" spans="1:17" x14ac:dyDescent="0.2">
      <c r="A67" s="30" t="s">
        <v>64</v>
      </c>
      <c r="B67" s="33"/>
      <c r="C67" s="30">
        <v>56746.544500000004</v>
      </c>
      <c r="D67" s="30">
        <v>1E-4</v>
      </c>
      <c r="E67" s="1">
        <f t="shared" si="8"/>
        <v>10334.002012589812</v>
      </c>
      <c r="F67" s="1">
        <f t="shared" si="9"/>
        <v>10334</v>
      </c>
      <c r="G67" s="1">
        <f t="shared" si="10"/>
        <v>7.0342000253731385E-4</v>
      </c>
      <c r="J67" s="1">
        <f>+G67</f>
        <v>7.0342000253731385E-4</v>
      </c>
      <c r="O67" s="1">
        <f t="shared" ca="1" si="11"/>
        <v>3.3270480150071609E-3</v>
      </c>
      <c r="Q67" s="72">
        <f t="shared" si="12"/>
        <v>41728.044500000004</v>
      </c>
    </row>
    <row r="68" spans="1:17" x14ac:dyDescent="0.2">
      <c r="A68" s="37" t="s">
        <v>62</v>
      </c>
      <c r="B68" s="38" t="s">
        <v>46</v>
      </c>
      <c r="C68" s="37">
        <v>57089.417399999998</v>
      </c>
      <c r="D68" s="37">
        <v>4.0000000000000002E-4</v>
      </c>
      <c r="E68" s="1">
        <f t="shared" si="8"/>
        <v>11315.012648999005</v>
      </c>
      <c r="F68" s="1">
        <f t="shared" si="9"/>
        <v>11315</v>
      </c>
      <c r="G68" s="1">
        <f t="shared" si="10"/>
        <v>4.4209499974385835E-3</v>
      </c>
      <c r="K68" s="1">
        <f t="shared" ref="K68:K73" si="13">+G68</f>
        <v>4.4209499974385835E-3</v>
      </c>
      <c r="O68" s="1">
        <f t="shared" ca="1" si="11"/>
        <v>3.9549774133895953E-3</v>
      </c>
      <c r="Q68" s="72">
        <f t="shared" si="12"/>
        <v>42070.917399999998</v>
      </c>
    </row>
    <row r="69" spans="1:17" ht="12" customHeight="1" x14ac:dyDescent="0.2">
      <c r="A69" s="37" t="s">
        <v>62</v>
      </c>
      <c r="B69" s="38" t="s">
        <v>53</v>
      </c>
      <c r="C69" s="37">
        <v>57094.487099999998</v>
      </c>
      <c r="D69" s="37">
        <v>2.9999999999999997E-4</v>
      </c>
      <c r="E69" s="1">
        <f t="shared" si="8"/>
        <v>11329.517818767174</v>
      </c>
      <c r="F69" s="1">
        <f t="shared" si="9"/>
        <v>11329.5</v>
      </c>
      <c r="G69" s="1">
        <f t="shared" si="10"/>
        <v>6.2278350014821626E-3</v>
      </c>
      <c r="K69" s="1">
        <f t="shared" si="13"/>
        <v>6.2278350014821626E-3</v>
      </c>
      <c r="O69" s="1">
        <f t="shared" ca="1" si="11"/>
        <v>3.9642587347724148E-3</v>
      </c>
      <c r="Q69" s="72">
        <f t="shared" si="12"/>
        <v>42075.987099999998</v>
      </c>
    </row>
    <row r="70" spans="1:17" ht="12" customHeight="1" x14ac:dyDescent="0.2">
      <c r="A70" s="37" t="s">
        <v>62</v>
      </c>
      <c r="B70" s="38" t="s">
        <v>46</v>
      </c>
      <c r="C70" s="37">
        <v>57133.456599999998</v>
      </c>
      <c r="D70" s="37">
        <v>4.0000000000000002E-4</v>
      </c>
      <c r="E70" s="1">
        <f t="shared" si="8"/>
        <v>11441.01538534519</v>
      </c>
      <c r="F70" s="1">
        <f t="shared" si="9"/>
        <v>11441</v>
      </c>
      <c r="G70" s="1">
        <f t="shared" si="10"/>
        <v>5.3773299950989895E-3</v>
      </c>
      <c r="K70" s="1">
        <f t="shared" si="13"/>
        <v>5.3773299950989895E-3</v>
      </c>
      <c r="O70" s="1">
        <f t="shared" ca="1" si="11"/>
        <v>4.0356288957506415E-3</v>
      </c>
      <c r="Q70" s="72">
        <f t="shared" si="12"/>
        <v>42114.956599999998</v>
      </c>
    </row>
    <row r="71" spans="1:17" ht="12" customHeight="1" x14ac:dyDescent="0.2">
      <c r="A71" s="44" t="s">
        <v>68</v>
      </c>
      <c r="B71" s="45" t="s">
        <v>46</v>
      </c>
      <c r="C71" s="46">
        <v>57134.505299999997</v>
      </c>
      <c r="D71" s="46">
        <v>1E-4</v>
      </c>
      <c r="E71" s="1">
        <f t="shared" si="8"/>
        <v>11444.015872856457</v>
      </c>
      <c r="F71" s="1">
        <f t="shared" si="9"/>
        <v>11444</v>
      </c>
      <c r="G71" s="1">
        <f t="shared" si="10"/>
        <v>5.5477200003224425E-3</v>
      </c>
      <c r="K71" s="1">
        <f t="shared" si="13"/>
        <v>5.5477200003224425E-3</v>
      </c>
      <c r="O71" s="1">
        <f t="shared" ca="1" si="11"/>
        <v>4.0375491691401911E-3</v>
      </c>
      <c r="Q71" s="72">
        <f t="shared" si="12"/>
        <v>42116.005299999997</v>
      </c>
    </row>
    <row r="72" spans="1:17" ht="12" customHeight="1" x14ac:dyDescent="0.2">
      <c r="A72" s="37" t="s">
        <v>62</v>
      </c>
      <c r="B72" s="38" t="s">
        <v>46</v>
      </c>
      <c r="C72" s="37">
        <v>57135.379500000003</v>
      </c>
      <c r="D72" s="37">
        <v>2.0000000000000001E-4</v>
      </c>
      <c r="E72" s="1">
        <f t="shared" si="8"/>
        <v>11446.517089774896</v>
      </c>
      <c r="F72" s="1">
        <f t="shared" si="9"/>
        <v>11446.5</v>
      </c>
      <c r="G72" s="1">
        <f t="shared" si="10"/>
        <v>5.9730450011556968E-3</v>
      </c>
      <c r="K72" s="1">
        <f t="shared" si="13"/>
        <v>5.9730450011556968E-3</v>
      </c>
      <c r="O72" s="1">
        <f t="shared" ca="1" si="11"/>
        <v>4.039149396964814E-3</v>
      </c>
      <c r="Q72" s="72">
        <f t="shared" si="12"/>
        <v>42116.879500000003</v>
      </c>
    </row>
    <row r="73" spans="1:17" ht="12" customHeight="1" x14ac:dyDescent="0.2">
      <c r="A73" s="47" t="s">
        <v>69</v>
      </c>
      <c r="B73" s="48" t="s">
        <v>46</v>
      </c>
      <c r="C73" s="49">
        <v>57456.409299999999</v>
      </c>
      <c r="D73" s="49">
        <v>2.0000000000000001E-4</v>
      </c>
      <c r="E73" s="1">
        <f t="shared" si="8"/>
        <v>12365.031350902906</v>
      </c>
      <c r="F73" s="1">
        <f t="shared" si="9"/>
        <v>12365</v>
      </c>
      <c r="G73" s="1">
        <f t="shared" si="10"/>
        <v>1.0957450002024416E-2</v>
      </c>
      <c r="K73" s="1">
        <f t="shared" si="13"/>
        <v>1.0957450002024416E-2</v>
      </c>
      <c r="O73" s="1">
        <f t="shared" ca="1" si="11"/>
        <v>4.6270730997316507E-3</v>
      </c>
      <c r="Q73" s="72">
        <f t="shared" si="12"/>
        <v>42437.909299999999</v>
      </c>
    </row>
    <row r="74" spans="1:17" ht="12" customHeight="1" x14ac:dyDescent="0.2">
      <c r="A74" s="50" t="s">
        <v>70</v>
      </c>
      <c r="B74" s="51" t="s">
        <v>53</v>
      </c>
      <c r="C74" s="52">
        <v>58940.427100000001</v>
      </c>
      <c r="D74" s="52">
        <v>1E-4</v>
      </c>
      <c r="E74" s="1">
        <f>+(C74-C$7)/C$8</f>
        <v>16611.02818069201</v>
      </c>
      <c r="F74" s="1">
        <f t="shared" si="9"/>
        <v>16611</v>
      </c>
      <c r="G74" s="1">
        <f>+C74-(C$7+F74*C$8)</f>
        <v>9.8494300036691129E-3</v>
      </c>
      <c r="K74" s="1">
        <f>+G74</f>
        <v>9.8494300036691129E-3</v>
      </c>
      <c r="O74" s="1">
        <f ca="1">+C$11+C$12*$F74</f>
        <v>7.344900037072952E-3</v>
      </c>
      <c r="Q74" s="72">
        <f>+C74-15018.5</f>
        <v>43921.927100000001</v>
      </c>
    </row>
    <row r="75" spans="1:17" ht="12" customHeight="1" x14ac:dyDescent="0.2">
      <c r="A75" s="73" t="s">
        <v>268</v>
      </c>
      <c r="B75" s="74" t="s">
        <v>46</v>
      </c>
      <c r="C75" s="75">
        <v>59736.433900000004</v>
      </c>
      <c r="D75" s="76">
        <v>4.0000000000000002E-4</v>
      </c>
      <c r="E75" s="1">
        <f>+(C75-C$7)/C$8</f>
        <v>18888.522661749161</v>
      </c>
      <c r="F75" s="1">
        <f t="shared" ref="F75" si="14">ROUND(2*E75,0)/2</f>
        <v>18888.5</v>
      </c>
      <c r="G75" s="1">
        <f>+C75-(C$7+F75*C$8)</f>
        <v>7.9205050060409121E-3</v>
      </c>
      <c r="K75" s="1">
        <f>+G75</f>
        <v>7.9205050060409121E-3</v>
      </c>
      <c r="O75" s="1">
        <f ca="1">+C$11+C$12*$F75</f>
        <v>8.8027075853053614E-3</v>
      </c>
      <c r="Q75" s="72">
        <f>+C75-15018.5</f>
        <v>44717.933900000004</v>
      </c>
    </row>
    <row r="76" spans="1:17" ht="12" customHeight="1" x14ac:dyDescent="0.2">
      <c r="A76" s="77" t="s">
        <v>269</v>
      </c>
      <c r="B76" s="78" t="s">
        <v>46</v>
      </c>
      <c r="C76" s="79">
        <v>60297.572180000134</v>
      </c>
      <c r="D76" s="77">
        <v>1E-4</v>
      </c>
      <c r="E76" s="1">
        <f t="shared" ref="E76:E77" si="15">+(C76-C$7)/C$8</f>
        <v>20494.023187385621</v>
      </c>
      <c r="F76" s="1">
        <f t="shared" ref="F76:F77" si="16">ROUND(2*E76,0)/2</f>
        <v>20494</v>
      </c>
      <c r="G76" s="1">
        <f t="shared" ref="G76:G77" si="17">+C76-(C$7+F76*C$8)</f>
        <v>8.1042201345553622E-3</v>
      </c>
      <c r="K76" s="1">
        <f t="shared" ref="K76:K77" si="18">+G76</f>
        <v>8.1042201345553622E-3</v>
      </c>
      <c r="O76" s="1">
        <f t="shared" ref="O76:O77" ca="1" si="19">+C$11+C$12*$F76</f>
        <v>9.8303738942788557E-3</v>
      </c>
      <c r="Q76" s="72">
        <f t="shared" ref="Q76:Q77" si="20">+C76-15018.5</f>
        <v>45279.072180000134</v>
      </c>
    </row>
    <row r="77" spans="1:17" ht="12" customHeight="1" x14ac:dyDescent="0.2">
      <c r="A77" s="77" t="s">
        <v>269</v>
      </c>
      <c r="B77" s="78" t="s">
        <v>46</v>
      </c>
      <c r="C77" s="79">
        <v>60418.503070000093</v>
      </c>
      <c r="D77" s="77">
        <v>1E-4</v>
      </c>
      <c r="E77" s="1">
        <f t="shared" si="15"/>
        <v>20840.024546374309</v>
      </c>
      <c r="F77" s="1">
        <f t="shared" si="16"/>
        <v>20840</v>
      </c>
      <c r="G77" s="1">
        <f t="shared" si="17"/>
        <v>8.5792000900255516E-3</v>
      </c>
      <c r="K77" s="1">
        <f t="shared" si="18"/>
        <v>8.5792000900255516E-3</v>
      </c>
      <c r="O77" s="1">
        <f t="shared" ca="1" si="19"/>
        <v>1.0051845425206809E-2</v>
      </c>
      <c r="Q77" s="72">
        <f t="shared" si="20"/>
        <v>45400.003070000093</v>
      </c>
    </row>
    <row r="78" spans="1:17" x14ac:dyDescent="0.2">
      <c r="B78" s="14"/>
      <c r="C78" s="21"/>
      <c r="D78" s="21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topLeftCell="A13" workbookViewId="0">
      <selection activeCell="A37" sqref="A37"/>
    </sheetView>
  </sheetViews>
  <sheetFormatPr defaultRowHeight="12.75" x14ac:dyDescent="0.2"/>
  <cols>
    <col min="1" max="1" width="19.7109375" style="21" customWidth="1"/>
    <col min="2" max="2" width="4.42578125" customWidth="1"/>
    <col min="3" max="3" width="12.7109375" style="21" customWidth="1"/>
    <col min="4" max="4" width="5.42578125" customWidth="1"/>
    <col min="5" max="5" width="14.85546875" customWidth="1"/>
    <col min="7" max="7" width="12" customWidth="1"/>
    <col min="8" max="8" width="14.140625" style="2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3" t="s">
        <v>71</v>
      </c>
      <c r="I1" s="54" t="s">
        <v>72</v>
      </c>
      <c r="J1" s="55" t="s">
        <v>36</v>
      </c>
    </row>
    <row r="2" spans="1:16" x14ac:dyDescent="0.2">
      <c r="I2" s="56" t="s">
        <v>73</v>
      </c>
      <c r="J2" s="57" t="s">
        <v>35</v>
      </c>
    </row>
    <row r="3" spans="1:16" x14ac:dyDescent="0.2">
      <c r="A3" s="58" t="s">
        <v>74</v>
      </c>
      <c r="I3" s="56" t="s">
        <v>75</v>
      </c>
      <c r="J3" s="57" t="s">
        <v>33</v>
      </c>
    </row>
    <row r="4" spans="1:16" x14ac:dyDescent="0.2">
      <c r="I4" s="56" t="s">
        <v>76</v>
      </c>
      <c r="J4" s="57" t="s">
        <v>33</v>
      </c>
    </row>
    <row r="5" spans="1:16" x14ac:dyDescent="0.2">
      <c r="I5" s="59" t="s">
        <v>77</v>
      </c>
      <c r="J5" s="60" t="s">
        <v>34</v>
      </c>
    </row>
    <row r="11" spans="1:16" ht="12.75" customHeight="1" x14ac:dyDescent="0.2">
      <c r="A11" s="21" t="str">
        <f t="shared" ref="A11:A49" si="0">P11</f>
        <v>IBVS 5603 </v>
      </c>
      <c r="B11" s="14" t="str">
        <f t="shared" ref="B11:B49" si="1">IF(H11=INT(H11),"I","II")</f>
        <v>I</v>
      </c>
      <c r="C11" s="21">
        <f t="shared" ref="C11:C49" si="2">1*G11</f>
        <v>53134.708299999998</v>
      </c>
      <c r="D11" t="str">
        <f t="shared" ref="D11:D49" si="3">VLOOKUP(F11,I$1:J$5,2,FALSE)</f>
        <v>vis</v>
      </c>
      <c r="E11">
        <f>VLOOKUP(C11,Active!C$21:E$971,3,FALSE)</f>
        <v>-1.4305747700940543E-3</v>
      </c>
      <c r="F11" s="14" t="s">
        <v>77</v>
      </c>
      <c r="G11" t="str">
        <f t="shared" ref="G11:G49" si="4">MID(I11,3,LEN(I11)-3)</f>
        <v>53134.7083</v>
      </c>
      <c r="H11" s="21">
        <f t="shared" ref="H11:H49" si="5">1*K11</f>
        <v>36125</v>
      </c>
      <c r="I11" s="61" t="s">
        <v>78</v>
      </c>
      <c r="J11" s="62" t="s">
        <v>79</v>
      </c>
      <c r="K11" s="61">
        <v>36125</v>
      </c>
      <c r="L11" s="61" t="s">
        <v>80</v>
      </c>
      <c r="M11" s="62" t="s">
        <v>81</v>
      </c>
      <c r="N11" s="62" t="s">
        <v>82</v>
      </c>
      <c r="O11" s="63" t="s">
        <v>83</v>
      </c>
      <c r="P11" s="64" t="s">
        <v>84</v>
      </c>
    </row>
    <row r="12" spans="1:16" ht="12.75" customHeight="1" x14ac:dyDescent="0.2">
      <c r="A12" s="21" t="str">
        <f t="shared" si="0"/>
        <v>BAVM 173 </v>
      </c>
      <c r="B12" s="14" t="str">
        <f t="shared" si="1"/>
        <v>I</v>
      </c>
      <c r="C12" s="21">
        <f t="shared" si="2"/>
        <v>53451.535499999998</v>
      </c>
      <c r="D12" t="str">
        <f t="shared" si="3"/>
        <v>vis</v>
      </c>
      <c r="E12">
        <f>VLOOKUP(C12,Active!C$21:E$971,3,FALSE)</f>
        <v>906.48856354184738</v>
      </c>
      <c r="F12" s="14" t="s">
        <v>77</v>
      </c>
      <c r="G12" t="str">
        <f t="shared" si="4"/>
        <v>53451.5355</v>
      </c>
      <c r="H12" s="21">
        <f t="shared" si="5"/>
        <v>36850</v>
      </c>
      <c r="I12" s="61" t="s">
        <v>85</v>
      </c>
      <c r="J12" s="62" t="s">
        <v>86</v>
      </c>
      <c r="K12" s="61">
        <v>36850</v>
      </c>
      <c r="L12" s="61" t="s">
        <v>87</v>
      </c>
      <c r="M12" s="62" t="s">
        <v>81</v>
      </c>
      <c r="N12" s="62" t="s">
        <v>88</v>
      </c>
      <c r="O12" s="63" t="s">
        <v>89</v>
      </c>
      <c r="P12" s="64" t="s">
        <v>90</v>
      </c>
    </row>
    <row r="13" spans="1:16" ht="12.75" customHeight="1" x14ac:dyDescent="0.2">
      <c r="A13" s="21" t="str">
        <f t="shared" si="0"/>
        <v>IBVS 5760 </v>
      </c>
      <c r="B13" s="14" t="str">
        <f t="shared" si="1"/>
        <v>I</v>
      </c>
      <c r="C13" s="21">
        <f t="shared" si="2"/>
        <v>53821.6682</v>
      </c>
      <c r="D13" t="str">
        <f t="shared" si="3"/>
        <v>vis</v>
      </c>
      <c r="E13">
        <f>VLOOKUP(C13,Active!C$21:E$971,3,FALSE)</f>
        <v>1965.4935638870506</v>
      </c>
      <c r="F13" s="14" t="s">
        <v>77</v>
      </c>
      <c r="G13" t="str">
        <f t="shared" si="4"/>
        <v>53821.6682</v>
      </c>
      <c r="H13" s="21">
        <f t="shared" si="5"/>
        <v>37697</v>
      </c>
      <c r="I13" s="61" t="s">
        <v>91</v>
      </c>
      <c r="J13" s="62" t="s">
        <v>92</v>
      </c>
      <c r="K13" s="61" t="s">
        <v>93</v>
      </c>
      <c r="L13" s="61" t="s">
        <v>94</v>
      </c>
      <c r="M13" s="62" t="s">
        <v>95</v>
      </c>
      <c r="N13" s="62" t="s">
        <v>96</v>
      </c>
      <c r="O13" s="63" t="s">
        <v>97</v>
      </c>
      <c r="P13" s="64" t="s">
        <v>98</v>
      </c>
    </row>
    <row r="14" spans="1:16" ht="12.75" customHeight="1" x14ac:dyDescent="0.2">
      <c r="A14" s="21" t="str">
        <f t="shared" si="0"/>
        <v>IBVS 5894 </v>
      </c>
      <c r="B14" s="14" t="str">
        <f t="shared" si="1"/>
        <v>I</v>
      </c>
      <c r="C14" s="21">
        <f t="shared" si="2"/>
        <v>54862.860999999997</v>
      </c>
      <c r="D14" t="str">
        <f t="shared" si="3"/>
        <v>vis</v>
      </c>
      <c r="E14">
        <f>VLOOKUP(C14,Active!C$21:E$971,3,FALSE)</f>
        <v>4944.5018534097389</v>
      </c>
      <c r="F14" s="14" t="s">
        <v>77</v>
      </c>
      <c r="G14" t="str">
        <f t="shared" si="4"/>
        <v>54862.861</v>
      </c>
      <c r="H14" s="21">
        <f t="shared" si="5"/>
        <v>40079</v>
      </c>
      <c r="I14" s="61" t="s">
        <v>99</v>
      </c>
      <c r="J14" s="62" t="s">
        <v>100</v>
      </c>
      <c r="K14" s="61" t="s">
        <v>101</v>
      </c>
      <c r="L14" s="61" t="s">
        <v>102</v>
      </c>
      <c r="M14" s="62" t="s">
        <v>95</v>
      </c>
      <c r="N14" s="62" t="s">
        <v>77</v>
      </c>
      <c r="O14" s="63" t="s">
        <v>103</v>
      </c>
      <c r="P14" s="64" t="s">
        <v>104</v>
      </c>
    </row>
    <row r="15" spans="1:16" ht="12.75" customHeight="1" x14ac:dyDescent="0.2">
      <c r="A15" s="21" t="str">
        <f t="shared" si="0"/>
        <v>IBVS 5894 </v>
      </c>
      <c r="B15" s="14" t="str">
        <f t="shared" si="1"/>
        <v>II</v>
      </c>
      <c r="C15" s="21">
        <f t="shared" si="2"/>
        <v>54890.647900000004</v>
      </c>
      <c r="D15" t="str">
        <f t="shared" si="3"/>
        <v>vis</v>
      </c>
      <c r="E15">
        <f>VLOOKUP(C15,Active!C$21:E$971,3,FALSE)</f>
        <v>5024.0043292625851</v>
      </c>
      <c r="F15" s="14" t="s">
        <v>77</v>
      </c>
      <c r="G15" t="str">
        <f t="shared" si="4"/>
        <v>54890.6479</v>
      </c>
      <c r="H15" s="21">
        <f t="shared" si="5"/>
        <v>40142.5</v>
      </c>
      <c r="I15" s="61" t="s">
        <v>105</v>
      </c>
      <c r="J15" s="62" t="s">
        <v>106</v>
      </c>
      <c r="K15" s="61" t="s">
        <v>107</v>
      </c>
      <c r="L15" s="61" t="s">
        <v>108</v>
      </c>
      <c r="M15" s="62" t="s">
        <v>95</v>
      </c>
      <c r="N15" s="62" t="s">
        <v>77</v>
      </c>
      <c r="O15" s="63" t="s">
        <v>103</v>
      </c>
      <c r="P15" s="64" t="s">
        <v>104</v>
      </c>
    </row>
    <row r="16" spans="1:16" ht="12.75" customHeight="1" x14ac:dyDescent="0.2">
      <c r="A16" s="21" t="str">
        <f t="shared" si="0"/>
        <v>IBVS 5894 </v>
      </c>
      <c r="B16" s="14" t="str">
        <f t="shared" si="1"/>
        <v>I</v>
      </c>
      <c r="C16" s="21">
        <f t="shared" si="2"/>
        <v>54890.819900000002</v>
      </c>
      <c r="D16" t="str">
        <f t="shared" si="3"/>
        <v>vis</v>
      </c>
      <c r="E16">
        <f>VLOOKUP(C16,Active!C$21:E$971,3,FALSE)</f>
        <v>5024.4964469816032</v>
      </c>
      <c r="F16" s="14" t="s">
        <v>77</v>
      </c>
      <c r="G16" t="str">
        <f t="shared" si="4"/>
        <v>54890.8199</v>
      </c>
      <c r="H16" s="21">
        <f t="shared" si="5"/>
        <v>40143</v>
      </c>
      <c r="I16" s="61" t="s">
        <v>109</v>
      </c>
      <c r="J16" s="62" t="s">
        <v>110</v>
      </c>
      <c r="K16" s="61" t="s">
        <v>111</v>
      </c>
      <c r="L16" s="61" t="s">
        <v>112</v>
      </c>
      <c r="M16" s="62" t="s">
        <v>95</v>
      </c>
      <c r="N16" s="62" t="s">
        <v>77</v>
      </c>
      <c r="O16" s="63" t="s">
        <v>103</v>
      </c>
      <c r="P16" s="64" t="s">
        <v>104</v>
      </c>
    </row>
    <row r="17" spans="1:16" ht="12.75" customHeight="1" x14ac:dyDescent="0.2">
      <c r="A17" s="21" t="str">
        <f t="shared" si="0"/>
        <v>IBVS 5933 </v>
      </c>
      <c r="B17" s="14" t="str">
        <f t="shared" si="1"/>
        <v>I</v>
      </c>
      <c r="C17" s="21">
        <f t="shared" si="2"/>
        <v>54923.501400000001</v>
      </c>
      <c r="D17" t="str">
        <f t="shared" si="3"/>
        <v>vis</v>
      </c>
      <c r="E17">
        <f>VLOOKUP(C17,Active!C$21:E$971,3,FALSE)</f>
        <v>5118.0031053200319</v>
      </c>
      <c r="F17" s="14" t="s">
        <v>77</v>
      </c>
      <c r="G17" t="str">
        <f t="shared" si="4"/>
        <v>54923.5014</v>
      </c>
      <c r="H17" s="21">
        <f t="shared" si="5"/>
        <v>40218</v>
      </c>
      <c r="I17" s="61" t="s">
        <v>113</v>
      </c>
      <c r="J17" s="62" t="s">
        <v>114</v>
      </c>
      <c r="K17" s="61" t="s">
        <v>115</v>
      </c>
      <c r="L17" s="61" t="s">
        <v>116</v>
      </c>
      <c r="M17" s="62" t="s">
        <v>95</v>
      </c>
      <c r="N17" s="62" t="s">
        <v>77</v>
      </c>
      <c r="O17" s="63" t="s">
        <v>117</v>
      </c>
      <c r="P17" s="64" t="s">
        <v>118</v>
      </c>
    </row>
    <row r="18" spans="1:16" ht="12.75" customHeight="1" x14ac:dyDescent="0.2">
      <c r="A18" s="21" t="str">
        <f t="shared" si="0"/>
        <v>BAVM 209 </v>
      </c>
      <c r="B18" s="14" t="str">
        <f t="shared" si="1"/>
        <v>I</v>
      </c>
      <c r="C18" s="21">
        <f t="shared" si="2"/>
        <v>54931.365100000003</v>
      </c>
      <c r="D18" t="str">
        <f t="shared" si="3"/>
        <v>vis</v>
      </c>
      <c r="E18">
        <f>VLOOKUP(C18,Active!C$21:E$971,3,FALSE)</f>
        <v>5140.5023268727782</v>
      </c>
      <c r="F18" s="14" t="s">
        <v>77</v>
      </c>
      <c r="G18" t="str">
        <f t="shared" si="4"/>
        <v>54931.3651</v>
      </c>
      <c r="H18" s="21">
        <f t="shared" si="5"/>
        <v>40236</v>
      </c>
      <c r="I18" s="61" t="s">
        <v>119</v>
      </c>
      <c r="J18" s="62" t="s">
        <v>120</v>
      </c>
      <c r="K18" s="61" t="s">
        <v>121</v>
      </c>
      <c r="L18" s="61" t="s">
        <v>122</v>
      </c>
      <c r="M18" s="62" t="s">
        <v>95</v>
      </c>
      <c r="N18" s="62" t="s">
        <v>88</v>
      </c>
      <c r="O18" s="63" t="s">
        <v>89</v>
      </c>
      <c r="P18" s="64" t="s">
        <v>123</v>
      </c>
    </row>
    <row r="19" spans="1:16" ht="12.75" customHeight="1" x14ac:dyDescent="0.2">
      <c r="A19" s="21" t="str">
        <f t="shared" si="0"/>
        <v>BAVM 209 </v>
      </c>
      <c r="B19" s="14" t="str">
        <f t="shared" si="1"/>
        <v>I</v>
      </c>
      <c r="C19" s="21">
        <f t="shared" si="2"/>
        <v>54931.540300000001</v>
      </c>
      <c r="D19" t="str">
        <f t="shared" si="3"/>
        <v>vis</v>
      </c>
      <c r="E19">
        <f>VLOOKUP(C19,Active!C$21:E$971,3,FALSE)</f>
        <v>5141.0036002702882</v>
      </c>
      <c r="F19" s="14" t="s">
        <v>77</v>
      </c>
      <c r="G19" t="str">
        <f t="shared" si="4"/>
        <v>54931.5403</v>
      </c>
      <c r="H19" s="21">
        <f t="shared" si="5"/>
        <v>40236</v>
      </c>
      <c r="I19" s="61" t="s">
        <v>124</v>
      </c>
      <c r="J19" s="62" t="s">
        <v>125</v>
      </c>
      <c r="K19" s="61" t="s">
        <v>121</v>
      </c>
      <c r="L19" s="61" t="s">
        <v>126</v>
      </c>
      <c r="M19" s="62" t="s">
        <v>95</v>
      </c>
      <c r="N19" s="62" t="s">
        <v>88</v>
      </c>
      <c r="O19" s="63" t="s">
        <v>89</v>
      </c>
      <c r="P19" s="64" t="s">
        <v>123</v>
      </c>
    </row>
    <row r="20" spans="1:16" ht="12.75" customHeight="1" x14ac:dyDescent="0.2">
      <c r="A20" s="21" t="str">
        <f t="shared" si="0"/>
        <v>IBVS 5933 </v>
      </c>
      <c r="B20" s="14" t="str">
        <f t="shared" si="1"/>
        <v>I</v>
      </c>
      <c r="C20" s="21">
        <f t="shared" si="2"/>
        <v>54942.375599999999</v>
      </c>
      <c r="D20" t="str">
        <f t="shared" si="3"/>
        <v>vis</v>
      </c>
      <c r="E20">
        <f>VLOOKUP(C20,Active!C$21:E$971,3,FALSE)</f>
        <v>5172.0050137639864</v>
      </c>
      <c r="F20" s="14" t="s">
        <v>77</v>
      </c>
      <c r="G20" t="str">
        <f t="shared" si="4"/>
        <v>54942.3756</v>
      </c>
      <c r="H20" s="21">
        <f t="shared" si="5"/>
        <v>40261</v>
      </c>
      <c r="I20" s="61" t="s">
        <v>127</v>
      </c>
      <c r="J20" s="62" t="s">
        <v>128</v>
      </c>
      <c r="K20" s="61" t="s">
        <v>129</v>
      </c>
      <c r="L20" s="61" t="s">
        <v>130</v>
      </c>
      <c r="M20" s="62" t="s">
        <v>95</v>
      </c>
      <c r="N20" s="62" t="s">
        <v>77</v>
      </c>
      <c r="O20" s="63" t="s">
        <v>117</v>
      </c>
      <c r="P20" s="64" t="s">
        <v>118</v>
      </c>
    </row>
    <row r="21" spans="1:16" ht="12.75" customHeight="1" x14ac:dyDescent="0.2">
      <c r="A21" s="21" t="str">
        <f t="shared" si="0"/>
        <v>IBVS 5933 </v>
      </c>
      <c r="B21" s="14" t="str">
        <f t="shared" si="1"/>
        <v>I</v>
      </c>
      <c r="C21" s="21">
        <f t="shared" si="2"/>
        <v>54942.548000000003</v>
      </c>
      <c r="D21" t="str">
        <f t="shared" si="3"/>
        <v>vis</v>
      </c>
      <c r="E21">
        <f>VLOOKUP(C21,Active!C$21:E$971,3,FALSE)</f>
        <v>5172.4982759428285</v>
      </c>
      <c r="F21" s="14" t="s">
        <v>77</v>
      </c>
      <c r="G21" t="str">
        <f t="shared" si="4"/>
        <v>54942.5480</v>
      </c>
      <c r="H21" s="21">
        <f t="shared" si="5"/>
        <v>40261</v>
      </c>
      <c r="I21" s="61" t="s">
        <v>131</v>
      </c>
      <c r="J21" s="62" t="s">
        <v>132</v>
      </c>
      <c r="K21" s="61" t="s">
        <v>129</v>
      </c>
      <c r="L21" s="61" t="s">
        <v>133</v>
      </c>
      <c r="M21" s="62" t="s">
        <v>95</v>
      </c>
      <c r="N21" s="62" t="s">
        <v>77</v>
      </c>
      <c r="O21" s="63" t="s">
        <v>117</v>
      </c>
      <c r="P21" s="64" t="s">
        <v>118</v>
      </c>
    </row>
    <row r="22" spans="1:16" ht="12.75" customHeight="1" x14ac:dyDescent="0.2">
      <c r="A22" s="21" t="str">
        <f t="shared" si="0"/>
        <v>IBVS 5933 </v>
      </c>
      <c r="B22" s="14" t="str">
        <f t="shared" si="1"/>
        <v>I</v>
      </c>
      <c r="C22" s="21">
        <f t="shared" si="2"/>
        <v>54943.423000000003</v>
      </c>
      <c r="D22" t="str">
        <f t="shared" si="3"/>
        <v>vis</v>
      </c>
      <c r="E22">
        <f>VLOOKUP(C22,Active!C$21:E$971,3,FALSE)</f>
        <v>5175.0017817808757</v>
      </c>
      <c r="F22" s="14" t="s">
        <v>77</v>
      </c>
      <c r="G22" t="str">
        <f t="shared" si="4"/>
        <v>54943.4230</v>
      </c>
      <c r="H22" s="21">
        <f t="shared" si="5"/>
        <v>40263</v>
      </c>
      <c r="I22" s="61" t="s">
        <v>134</v>
      </c>
      <c r="J22" s="62" t="s">
        <v>135</v>
      </c>
      <c r="K22" s="61" t="s">
        <v>136</v>
      </c>
      <c r="L22" s="61" t="s">
        <v>137</v>
      </c>
      <c r="M22" s="62" t="s">
        <v>95</v>
      </c>
      <c r="N22" s="62" t="s">
        <v>77</v>
      </c>
      <c r="O22" s="63" t="s">
        <v>117</v>
      </c>
      <c r="P22" s="64" t="s">
        <v>118</v>
      </c>
    </row>
    <row r="23" spans="1:16" ht="12.75" customHeight="1" x14ac:dyDescent="0.2">
      <c r="A23" s="21" t="str">
        <f t="shared" si="0"/>
        <v>IBVS 5933 </v>
      </c>
      <c r="B23" s="14" t="str">
        <f t="shared" si="1"/>
        <v>II</v>
      </c>
      <c r="C23" s="21">
        <f t="shared" si="2"/>
        <v>54943.597099999999</v>
      </c>
      <c r="D23" t="str">
        <f t="shared" si="3"/>
        <v>vis</v>
      </c>
      <c r="E23">
        <f>VLOOKUP(C23,Active!C$21:E$971,3,FALSE)</f>
        <v>5175.4999079138988</v>
      </c>
      <c r="F23" s="14" t="s">
        <v>77</v>
      </c>
      <c r="G23" t="str">
        <f t="shared" si="4"/>
        <v>54943.5971</v>
      </c>
      <c r="H23" s="21">
        <f t="shared" si="5"/>
        <v>40263.5</v>
      </c>
      <c r="I23" s="61" t="s">
        <v>138</v>
      </c>
      <c r="J23" s="62" t="s">
        <v>139</v>
      </c>
      <c r="K23" s="61" t="s">
        <v>140</v>
      </c>
      <c r="L23" s="61" t="s">
        <v>141</v>
      </c>
      <c r="M23" s="62" t="s">
        <v>95</v>
      </c>
      <c r="N23" s="62" t="s">
        <v>77</v>
      </c>
      <c r="O23" s="63" t="s">
        <v>117</v>
      </c>
      <c r="P23" s="64" t="s">
        <v>118</v>
      </c>
    </row>
    <row r="24" spans="1:16" ht="12.75" customHeight="1" x14ac:dyDescent="0.2">
      <c r="A24" s="21" t="str">
        <f t="shared" si="0"/>
        <v>IBVS 5933 </v>
      </c>
      <c r="B24" s="14" t="str">
        <f t="shared" si="1"/>
        <v>II</v>
      </c>
      <c r="C24" s="21">
        <f t="shared" si="2"/>
        <v>54944.472199999997</v>
      </c>
      <c r="D24" t="str">
        <f t="shared" si="3"/>
        <v>vis</v>
      </c>
      <c r="E24">
        <f>VLOOKUP(C24,Active!C$21:E$971,3,FALSE)</f>
        <v>5178.0036998668911</v>
      </c>
      <c r="F24" s="14" t="s">
        <v>77</v>
      </c>
      <c r="G24" t="str">
        <f t="shared" si="4"/>
        <v>54944.4722</v>
      </c>
      <c r="H24" s="21">
        <f t="shared" si="5"/>
        <v>40265.5</v>
      </c>
      <c r="I24" s="61" t="s">
        <v>142</v>
      </c>
      <c r="J24" s="62" t="s">
        <v>143</v>
      </c>
      <c r="K24" s="61" t="s">
        <v>144</v>
      </c>
      <c r="L24" s="61" t="s">
        <v>145</v>
      </c>
      <c r="M24" s="62" t="s">
        <v>95</v>
      </c>
      <c r="N24" s="62" t="s">
        <v>77</v>
      </c>
      <c r="O24" s="63" t="s">
        <v>117</v>
      </c>
      <c r="P24" s="64" t="s">
        <v>118</v>
      </c>
    </row>
    <row r="25" spans="1:16" ht="12.75" customHeight="1" x14ac:dyDescent="0.2">
      <c r="A25" s="21" t="str">
        <f t="shared" si="0"/>
        <v>IBVS 5945 </v>
      </c>
      <c r="B25" s="14" t="str">
        <f t="shared" si="1"/>
        <v>II</v>
      </c>
      <c r="C25" s="21">
        <f t="shared" si="2"/>
        <v>55277.902300000002</v>
      </c>
      <c r="D25" t="str">
        <f t="shared" si="3"/>
        <v>vis</v>
      </c>
      <c r="E25">
        <f>VLOOKUP(C25,Active!C$21:E$971,3,FALSE)</f>
        <v>6131.9970735018187</v>
      </c>
      <c r="F25" s="14" t="s">
        <v>77</v>
      </c>
      <c r="G25" t="str">
        <f t="shared" si="4"/>
        <v>55277.9023</v>
      </c>
      <c r="H25" s="21">
        <f t="shared" si="5"/>
        <v>41028.5</v>
      </c>
      <c r="I25" s="61" t="s">
        <v>146</v>
      </c>
      <c r="J25" s="62" t="s">
        <v>147</v>
      </c>
      <c r="K25" s="61" t="s">
        <v>148</v>
      </c>
      <c r="L25" s="61" t="s">
        <v>149</v>
      </c>
      <c r="M25" s="62" t="s">
        <v>95</v>
      </c>
      <c r="N25" s="62" t="s">
        <v>77</v>
      </c>
      <c r="O25" s="63" t="s">
        <v>103</v>
      </c>
      <c r="P25" s="64" t="s">
        <v>150</v>
      </c>
    </row>
    <row r="26" spans="1:16" ht="12.75" customHeight="1" x14ac:dyDescent="0.2">
      <c r="A26" s="21" t="str">
        <f t="shared" si="0"/>
        <v>BAVM 214 </v>
      </c>
      <c r="B26" s="14" t="str">
        <f t="shared" si="1"/>
        <v>I</v>
      </c>
      <c r="C26" s="21">
        <f t="shared" si="2"/>
        <v>55311.454299999998</v>
      </c>
      <c r="D26" t="str">
        <f t="shared" si="3"/>
        <v>vis</v>
      </c>
      <c r="E26">
        <f>VLOOKUP(C26,Active!C$21:E$971,3,FALSE)</f>
        <v>6227.9943625054057</v>
      </c>
      <c r="F26" s="14" t="s">
        <v>77</v>
      </c>
      <c r="G26" t="str">
        <f t="shared" si="4"/>
        <v>55311.4543</v>
      </c>
      <c r="H26" s="21">
        <f t="shared" si="5"/>
        <v>41105</v>
      </c>
      <c r="I26" s="61" t="s">
        <v>151</v>
      </c>
      <c r="J26" s="62" t="s">
        <v>152</v>
      </c>
      <c r="K26" s="61" t="s">
        <v>153</v>
      </c>
      <c r="L26" s="61" t="s">
        <v>154</v>
      </c>
      <c r="M26" s="62" t="s">
        <v>95</v>
      </c>
      <c r="N26" s="62" t="s">
        <v>88</v>
      </c>
      <c r="O26" s="63" t="s">
        <v>89</v>
      </c>
      <c r="P26" s="64" t="s">
        <v>155</v>
      </c>
    </row>
    <row r="27" spans="1:16" ht="12.75" customHeight="1" x14ac:dyDescent="0.2">
      <c r="A27" s="21" t="str">
        <f t="shared" si="0"/>
        <v>IBVS 5992 </v>
      </c>
      <c r="B27" s="14" t="str">
        <f t="shared" si="1"/>
        <v>II</v>
      </c>
      <c r="C27" s="21">
        <f t="shared" si="2"/>
        <v>55615.882100000003</v>
      </c>
      <c r="D27" t="str">
        <f t="shared" si="3"/>
        <v>vis</v>
      </c>
      <c r="E27">
        <f>VLOOKUP(C27,Active!C$21:E$971,3,FALSE)</f>
        <v>7099.0078191497205</v>
      </c>
      <c r="F27" s="14" t="s">
        <v>77</v>
      </c>
      <c r="G27" t="str">
        <f t="shared" si="4"/>
        <v>55615.8821</v>
      </c>
      <c r="H27" s="21">
        <f t="shared" si="5"/>
        <v>41801.5</v>
      </c>
      <c r="I27" s="61" t="s">
        <v>156</v>
      </c>
      <c r="J27" s="62" t="s">
        <v>157</v>
      </c>
      <c r="K27" s="61" t="s">
        <v>158</v>
      </c>
      <c r="L27" s="61" t="s">
        <v>159</v>
      </c>
      <c r="M27" s="62" t="s">
        <v>95</v>
      </c>
      <c r="N27" s="62" t="s">
        <v>77</v>
      </c>
      <c r="O27" s="63" t="s">
        <v>103</v>
      </c>
      <c r="P27" s="64" t="s">
        <v>160</v>
      </c>
    </row>
    <row r="28" spans="1:16" ht="12.75" customHeight="1" x14ac:dyDescent="0.2">
      <c r="A28" s="21" t="str">
        <f t="shared" si="0"/>
        <v>BAVM 220 </v>
      </c>
      <c r="B28" s="14" t="str">
        <f t="shared" si="1"/>
        <v>II</v>
      </c>
      <c r="C28" s="21">
        <f t="shared" si="2"/>
        <v>55660.444100000001</v>
      </c>
      <c r="D28" t="str">
        <f t="shared" si="3"/>
        <v>vis</v>
      </c>
      <c r="E28">
        <f>VLOOKUP(C28,Active!C$21:E$971,3,FALSE)</f>
        <v>7226.5063644697657</v>
      </c>
      <c r="F28" s="14" t="s">
        <v>77</v>
      </c>
      <c r="G28" t="str">
        <f t="shared" si="4"/>
        <v>55660.4441</v>
      </c>
      <c r="H28" s="21">
        <f t="shared" si="5"/>
        <v>41903.5</v>
      </c>
      <c r="I28" s="61" t="s">
        <v>161</v>
      </c>
      <c r="J28" s="62" t="s">
        <v>162</v>
      </c>
      <c r="K28" s="61" t="s">
        <v>163</v>
      </c>
      <c r="L28" s="61" t="s">
        <v>164</v>
      </c>
      <c r="M28" s="62" t="s">
        <v>95</v>
      </c>
      <c r="N28" s="62" t="s">
        <v>88</v>
      </c>
      <c r="O28" s="63" t="s">
        <v>89</v>
      </c>
      <c r="P28" s="64" t="s">
        <v>165</v>
      </c>
    </row>
    <row r="29" spans="1:16" ht="12.75" customHeight="1" x14ac:dyDescent="0.2">
      <c r="A29" s="21" t="str">
        <f t="shared" si="0"/>
        <v>BAVM 220 </v>
      </c>
      <c r="B29" s="14" t="str">
        <f t="shared" si="1"/>
        <v>I</v>
      </c>
      <c r="C29" s="21">
        <f t="shared" si="2"/>
        <v>55660.619299999998</v>
      </c>
      <c r="D29" t="str">
        <f t="shared" si="3"/>
        <v>vis</v>
      </c>
      <c r="E29">
        <f>VLOOKUP(C29,Active!C$21:E$971,3,FALSE)</f>
        <v>7227.0076378672748</v>
      </c>
      <c r="F29" s="14" t="s">
        <v>77</v>
      </c>
      <c r="G29" t="str">
        <f t="shared" si="4"/>
        <v>55660.6193</v>
      </c>
      <c r="H29" s="21">
        <f t="shared" si="5"/>
        <v>41904</v>
      </c>
      <c r="I29" s="61" t="s">
        <v>166</v>
      </c>
      <c r="J29" s="62" t="s">
        <v>167</v>
      </c>
      <c r="K29" s="61" t="s">
        <v>168</v>
      </c>
      <c r="L29" s="61" t="s">
        <v>169</v>
      </c>
      <c r="M29" s="62" t="s">
        <v>95</v>
      </c>
      <c r="N29" s="62" t="s">
        <v>88</v>
      </c>
      <c r="O29" s="63" t="s">
        <v>89</v>
      </c>
      <c r="P29" s="64" t="s">
        <v>165</v>
      </c>
    </row>
    <row r="30" spans="1:16" ht="12.75" customHeight="1" x14ac:dyDescent="0.2">
      <c r="A30" s="21" t="str">
        <f t="shared" si="0"/>
        <v>IBVS 6029 </v>
      </c>
      <c r="B30" s="14" t="str">
        <f t="shared" si="1"/>
        <v>II</v>
      </c>
      <c r="C30" s="21">
        <f t="shared" si="2"/>
        <v>55968.885900000001</v>
      </c>
      <c r="D30" t="str">
        <f t="shared" si="3"/>
        <v>vis</v>
      </c>
      <c r="E30">
        <f>VLOOKUP(C30,Active!C$21:E$971,3,FALSE)</f>
        <v>8109.004475324261</v>
      </c>
      <c r="F30" s="14" t="s">
        <v>77</v>
      </c>
      <c r="G30" t="str">
        <f t="shared" si="4"/>
        <v>55968.8859</v>
      </c>
      <c r="H30" s="21">
        <f t="shared" si="5"/>
        <v>42609.5</v>
      </c>
      <c r="I30" s="61" t="s">
        <v>170</v>
      </c>
      <c r="J30" s="62" t="s">
        <v>171</v>
      </c>
      <c r="K30" s="61" t="s">
        <v>172</v>
      </c>
      <c r="L30" s="61" t="s">
        <v>173</v>
      </c>
      <c r="M30" s="62" t="s">
        <v>95</v>
      </c>
      <c r="N30" s="62" t="s">
        <v>77</v>
      </c>
      <c r="O30" s="63" t="s">
        <v>103</v>
      </c>
      <c r="P30" s="64" t="s">
        <v>174</v>
      </c>
    </row>
    <row r="31" spans="1:16" ht="12.75" customHeight="1" x14ac:dyDescent="0.2">
      <c r="A31" s="21" t="str">
        <f t="shared" si="0"/>
        <v>IBVS 6029 </v>
      </c>
      <c r="B31" s="14" t="str">
        <f t="shared" si="1"/>
        <v>II</v>
      </c>
      <c r="C31" s="21">
        <f t="shared" si="2"/>
        <v>56036.689599999998</v>
      </c>
      <c r="D31" t="str">
        <f t="shared" si="3"/>
        <v>vis</v>
      </c>
      <c r="E31">
        <f>VLOOKUP(C31,Active!C$21:E$971,3,FALSE)</f>
        <v>8303.0009996570261</v>
      </c>
      <c r="F31" s="14" t="s">
        <v>77</v>
      </c>
      <c r="G31" t="str">
        <f t="shared" si="4"/>
        <v>56036.6896</v>
      </c>
      <c r="H31" s="21">
        <f t="shared" si="5"/>
        <v>42764.5</v>
      </c>
      <c r="I31" s="61" t="s">
        <v>175</v>
      </c>
      <c r="J31" s="62" t="s">
        <v>176</v>
      </c>
      <c r="K31" s="61" t="s">
        <v>177</v>
      </c>
      <c r="L31" s="61" t="s">
        <v>178</v>
      </c>
      <c r="M31" s="62" t="s">
        <v>95</v>
      </c>
      <c r="N31" s="62" t="s">
        <v>77</v>
      </c>
      <c r="O31" s="63" t="s">
        <v>103</v>
      </c>
      <c r="P31" s="64" t="s">
        <v>174</v>
      </c>
    </row>
    <row r="32" spans="1:16" ht="12.75" customHeight="1" x14ac:dyDescent="0.2">
      <c r="A32" s="21" t="str">
        <f t="shared" si="0"/>
        <v>IBVS 6092 </v>
      </c>
      <c r="B32" s="14" t="str">
        <f t="shared" si="1"/>
        <v>I</v>
      </c>
      <c r="C32" s="21">
        <f t="shared" si="2"/>
        <v>56359.8145</v>
      </c>
      <c r="D32" t="str">
        <f t="shared" si="3"/>
        <v>vis</v>
      </c>
      <c r="E32">
        <f>VLOOKUP(C32,Active!C$21:E$971,3,FALSE)</f>
        <v>9227.5096551636725</v>
      </c>
      <c r="F32" s="14" t="s">
        <v>77</v>
      </c>
      <c r="G32" t="str">
        <f t="shared" si="4"/>
        <v>56359.8145</v>
      </c>
      <c r="H32" s="21">
        <f t="shared" si="5"/>
        <v>43504</v>
      </c>
      <c r="I32" s="61" t="s">
        <v>179</v>
      </c>
      <c r="J32" s="62" t="s">
        <v>180</v>
      </c>
      <c r="K32" s="61" t="s">
        <v>181</v>
      </c>
      <c r="L32" s="61" t="s">
        <v>182</v>
      </c>
      <c r="M32" s="62" t="s">
        <v>95</v>
      </c>
      <c r="N32" s="62" t="s">
        <v>72</v>
      </c>
      <c r="O32" s="63" t="s">
        <v>97</v>
      </c>
      <c r="P32" s="64" t="s">
        <v>183</v>
      </c>
    </row>
    <row r="33" spans="1:16" ht="12.75" customHeight="1" x14ac:dyDescent="0.2">
      <c r="A33" s="21" t="str">
        <f t="shared" si="0"/>
        <v>BAVM 238 </v>
      </c>
      <c r="B33" s="14" t="str">
        <f t="shared" si="1"/>
        <v>I</v>
      </c>
      <c r="C33" s="21">
        <f t="shared" si="2"/>
        <v>56730.4683</v>
      </c>
      <c r="D33" t="str">
        <f t="shared" si="3"/>
        <v>vis</v>
      </c>
      <c r="E33">
        <f>VLOOKUP(C33,Active!C$21:E$971,3,FALSE)</f>
        <v>10288.005600528535</v>
      </c>
      <c r="F33" s="14" t="s">
        <v>77</v>
      </c>
      <c r="G33" t="str">
        <f t="shared" si="4"/>
        <v>56730.4683</v>
      </c>
      <c r="H33" s="21">
        <f t="shared" si="5"/>
        <v>44352</v>
      </c>
      <c r="I33" s="61" t="s">
        <v>184</v>
      </c>
      <c r="J33" s="62" t="s">
        <v>185</v>
      </c>
      <c r="K33" s="61" t="s">
        <v>186</v>
      </c>
      <c r="L33" s="61" t="s">
        <v>187</v>
      </c>
      <c r="M33" s="62" t="s">
        <v>95</v>
      </c>
      <c r="N33" s="62" t="s">
        <v>88</v>
      </c>
      <c r="O33" s="63" t="s">
        <v>89</v>
      </c>
      <c r="P33" s="64" t="s">
        <v>188</v>
      </c>
    </row>
    <row r="34" spans="1:16" ht="12.75" customHeight="1" x14ac:dyDescent="0.2">
      <c r="A34" s="21" t="str">
        <f t="shared" si="0"/>
        <v>BAVM 238 </v>
      </c>
      <c r="B34" s="14" t="str">
        <f t="shared" si="1"/>
        <v>II</v>
      </c>
      <c r="C34" s="21">
        <f t="shared" si="2"/>
        <v>56730.643499999998</v>
      </c>
      <c r="D34" t="str">
        <f t="shared" si="3"/>
        <v>vis</v>
      </c>
      <c r="E34">
        <f>VLOOKUP(C34,Active!C$21:E$971,3,FALSE)</f>
        <v>10288.506873926044</v>
      </c>
      <c r="F34" s="14" t="s">
        <v>77</v>
      </c>
      <c r="G34" t="str">
        <f t="shared" si="4"/>
        <v>56730.6435</v>
      </c>
      <c r="H34" s="21">
        <f t="shared" si="5"/>
        <v>44352.5</v>
      </c>
      <c r="I34" s="61" t="s">
        <v>189</v>
      </c>
      <c r="J34" s="62" t="s">
        <v>190</v>
      </c>
      <c r="K34" s="61" t="s">
        <v>191</v>
      </c>
      <c r="L34" s="61" t="s">
        <v>192</v>
      </c>
      <c r="M34" s="62" t="s">
        <v>95</v>
      </c>
      <c r="N34" s="62" t="s">
        <v>88</v>
      </c>
      <c r="O34" s="63" t="s">
        <v>89</v>
      </c>
      <c r="P34" s="64" t="s">
        <v>188</v>
      </c>
    </row>
    <row r="35" spans="1:16" ht="12.75" customHeight="1" x14ac:dyDescent="0.2">
      <c r="A35" s="21" t="str">
        <f t="shared" si="0"/>
        <v>BAVM 238 </v>
      </c>
      <c r="B35" s="14" t="str">
        <f t="shared" si="1"/>
        <v>I</v>
      </c>
      <c r="C35" s="21">
        <f t="shared" si="2"/>
        <v>56737.458400000003</v>
      </c>
      <c r="D35" t="str">
        <f t="shared" si="3"/>
        <v>vis</v>
      </c>
      <c r="E35">
        <f>VLOOKUP(C35,Active!C$21:E$971,3,FALSE)</f>
        <v>10308.005321852579</v>
      </c>
      <c r="F35" s="14" t="s">
        <v>77</v>
      </c>
      <c r="G35" t="str">
        <f t="shared" si="4"/>
        <v>56737.4584</v>
      </c>
      <c r="H35" s="21">
        <f t="shared" si="5"/>
        <v>44368</v>
      </c>
      <c r="I35" s="61" t="s">
        <v>193</v>
      </c>
      <c r="J35" s="62" t="s">
        <v>194</v>
      </c>
      <c r="K35" s="61" t="s">
        <v>195</v>
      </c>
      <c r="L35" s="61" t="s">
        <v>196</v>
      </c>
      <c r="M35" s="62" t="s">
        <v>95</v>
      </c>
      <c r="N35" s="62" t="s">
        <v>88</v>
      </c>
      <c r="O35" s="63" t="s">
        <v>89</v>
      </c>
      <c r="P35" s="64" t="s">
        <v>188</v>
      </c>
    </row>
    <row r="36" spans="1:16" ht="12.75" customHeight="1" x14ac:dyDescent="0.2">
      <c r="A36" s="21" t="str">
        <f t="shared" si="0"/>
        <v>BAVM 238 </v>
      </c>
      <c r="B36" s="14" t="str">
        <f t="shared" si="1"/>
        <v>II</v>
      </c>
      <c r="C36" s="21">
        <f t="shared" si="2"/>
        <v>56737.635399999999</v>
      </c>
      <c r="D36" t="str">
        <f t="shared" si="3"/>
        <v>vis</v>
      </c>
      <c r="E36">
        <f>VLOOKUP(C36,Active!C$21:E$971,3,FALSE)</f>
        <v>10308.511745319234</v>
      </c>
      <c r="F36" s="14" t="s">
        <v>77</v>
      </c>
      <c r="G36" t="str">
        <f t="shared" si="4"/>
        <v>56737.6354</v>
      </c>
      <c r="H36" s="21">
        <f t="shared" si="5"/>
        <v>44368.5</v>
      </c>
      <c r="I36" s="61" t="s">
        <v>197</v>
      </c>
      <c r="J36" s="62" t="s">
        <v>198</v>
      </c>
      <c r="K36" s="61" t="s">
        <v>199</v>
      </c>
      <c r="L36" s="61" t="s">
        <v>200</v>
      </c>
      <c r="M36" s="62" t="s">
        <v>95</v>
      </c>
      <c r="N36" s="62" t="s">
        <v>88</v>
      </c>
      <c r="O36" s="63" t="s">
        <v>89</v>
      </c>
      <c r="P36" s="64" t="s">
        <v>188</v>
      </c>
    </row>
    <row r="37" spans="1:16" ht="12.75" customHeight="1" x14ac:dyDescent="0.2">
      <c r="A37" s="21" t="str">
        <f t="shared" si="0"/>
        <v> BBS 120 </v>
      </c>
      <c r="B37" s="14" t="str">
        <f t="shared" si="1"/>
        <v>I</v>
      </c>
      <c r="C37" s="21">
        <f t="shared" si="2"/>
        <v>51305.375999999997</v>
      </c>
      <c r="D37" t="str">
        <f t="shared" si="3"/>
        <v>vis</v>
      </c>
      <c r="E37">
        <f>VLOOKUP(C37,Active!C$21:E$971,3,FALSE)</f>
        <v>-5233.9946794635689</v>
      </c>
      <c r="F37" s="14" t="s">
        <v>77</v>
      </c>
      <c r="G37" t="str">
        <f t="shared" si="4"/>
        <v>51305.376</v>
      </c>
      <c r="H37" s="21">
        <f t="shared" si="5"/>
        <v>31939</v>
      </c>
      <c r="I37" s="61" t="s">
        <v>201</v>
      </c>
      <c r="J37" s="62" t="s">
        <v>202</v>
      </c>
      <c r="K37" s="61">
        <v>31939</v>
      </c>
      <c r="L37" s="61" t="s">
        <v>203</v>
      </c>
      <c r="M37" s="62" t="s">
        <v>81</v>
      </c>
      <c r="N37" s="62" t="s">
        <v>82</v>
      </c>
      <c r="O37" s="63" t="s">
        <v>103</v>
      </c>
      <c r="P37" s="63" t="s">
        <v>45</v>
      </c>
    </row>
    <row r="38" spans="1:16" ht="12.75" customHeight="1" x14ac:dyDescent="0.2">
      <c r="A38" s="21" t="str">
        <f t="shared" si="0"/>
        <v> BBS 125 </v>
      </c>
      <c r="B38" s="14" t="str">
        <f t="shared" si="1"/>
        <v>I</v>
      </c>
      <c r="C38" s="21">
        <f t="shared" si="2"/>
        <v>51974.519</v>
      </c>
      <c r="D38" t="str">
        <f t="shared" si="3"/>
        <v>vis</v>
      </c>
      <c r="E38">
        <f>VLOOKUP(C38,Active!C$21:E$971,3,FALSE)</f>
        <v>-3319.4765000484826</v>
      </c>
      <c r="F38" s="14" t="s">
        <v>77</v>
      </c>
      <c r="G38" t="str">
        <f t="shared" si="4"/>
        <v>51974.519</v>
      </c>
      <c r="H38" s="21">
        <f t="shared" si="5"/>
        <v>33470</v>
      </c>
      <c r="I38" s="61" t="s">
        <v>204</v>
      </c>
      <c r="J38" s="62" t="s">
        <v>205</v>
      </c>
      <c r="K38" s="61">
        <v>33470</v>
      </c>
      <c r="L38" s="61" t="s">
        <v>206</v>
      </c>
      <c r="M38" s="62" t="s">
        <v>81</v>
      </c>
      <c r="N38" s="62" t="s">
        <v>82</v>
      </c>
      <c r="O38" s="63" t="s">
        <v>103</v>
      </c>
      <c r="P38" s="63" t="s">
        <v>47</v>
      </c>
    </row>
    <row r="39" spans="1:16" ht="12.75" customHeight="1" x14ac:dyDescent="0.2">
      <c r="A39" s="21" t="str">
        <f t="shared" si="0"/>
        <v>VSB 48 </v>
      </c>
      <c r="B39" s="14" t="str">
        <f t="shared" si="1"/>
        <v>I</v>
      </c>
      <c r="C39" s="21">
        <f t="shared" si="2"/>
        <v>54529.253700000001</v>
      </c>
      <c r="D39" t="str">
        <f t="shared" si="3"/>
        <v>vis</v>
      </c>
      <c r="E39">
        <f>VLOOKUP(C39,Active!C$21:E$971,3,FALSE)</f>
        <v>3990.0014840782628</v>
      </c>
      <c r="F39" s="14" t="s">
        <v>77</v>
      </c>
      <c r="G39" t="str">
        <f t="shared" si="4"/>
        <v>54529.2537</v>
      </c>
      <c r="H39" s="21">
        <f t="shared" si="5"/>
        <v>39316</v>
      </c>
      <c r="I39" s="61" t="s">
        <v>207</v>
      </c>
      <c r="J39" s="62" t="s">
        <v>208</v>
      </c>
      <c r="K39" s="61" t="s">
        <v>209</v>
      </c>
      <c r="L39" s="61" t="s">
        <v>210</v>
      </c>
      <c r="M39" s="62" t="s">
        <v>95</v>
      </c>
      <c r="N39" s="62" t="s">
        <v>211</v>
      </c>
      <c r="O39" s="63" t="s">
        <v>212</v>
      </c>
      <c r="P39" s="64" t="s">
        <v>51</v>
      </c>
    </row>
    <row r="40" spans="1:16" ht="12.75" customHeight="1" x14ac:dyDescent="0.2">
      <c r="A40" s="21" t="str">
        <f t="shared" si="0"/>
        <v>VSB 48 </v>
      </c>
      <c r="B40" s="14" t="str">
        <f t="shared" si="1"/>
        <v>I</v>
      </c>
      <c r="C40" s="21">
        <f t="shared" si="2"/>
        <v>54562.981200000002</v>
      </c>
      <c r="D40" t="str">
        <f t="shared" si="3"/>
        <v>vis</v>
      </c>
      <c r="E40">
        <f>VLOOKUP(C40,Active!C$21:E$971,3,FALSE)</f>
        <v>4086.5009048242378</v>
      </c>
      <c r="F40" s="14" t="s">
        <v>77</v>
      </c>
      <c r="G40" t="str">
        <f t="shared" si="4"/>
        <v>54562.9812</v>
      </c>
      <c r="H40" s="21">
        <f t="shared" si="5"/>
        <v>39393</v>
      </c>
      <c r="I40" s="61" t="s">
        <v>213</v>
      </c>
      <c r="J40" s="62" t="s">
        <v>214</v>
      </c>
      <c r="K40" s="61" t="s">
        <v>215</v>
      </c>
      <c r="L40" s="61" t="s">
        <v>216</v>
      </c>
      <c r="M40" s="62" t="s">
        <v>95</v>
      </c>
      <c r="N40" s="62" t="s">
        <v>211</v>
      </c>
      <c r="O40" s="63" t="s">
        <v>212</v>
      </c>
      <c r="P40" s="64" t="s">
        <v>51</v>
      </c>
    </row>
    <row r="41" spans="1:16" ht="12.75" customHeight="1" x14ac:dyDescent="0.2">
      <c r="A41" s="21" t="str">
        <f t="shared" si="0"/>
        <v>IBVS 5940 </v>
      </c>
      <c r="B41" s="14" t="str">
        <f t="shared" si="1"/>
        <v>II</v>
      </c>
      <c r="C41" s="21">
        <f t="shared" si="2"/>
        <v>55292.408600000002</v>
      </c>
      <c r="D41" t="str">
        <f t="shared" si="3"/>
        <v>vis</v>
      </c>
      <c r="E41">
        <f>VLOOKUP(C41,Active!C$21:E$971,3,FALSE)</f>
        <v>6173.5017669172039</v>
      </c>
      <c r="F41" s="14" t="s">
        <v>77</v>
      </c>
      <c r="G41" t="str">
        <f t="shared" si="4"/>
        <v>55292.4086</v>
      </c>
      <c r="H41" s="21">
        <f t="shared" si="5"/>
        <v>41061.5</v>
      </c>
      <c r="I41" s="61" t="s">
        <v>217</v>
      </c>
      <c r="J41" s="62" t="s">
        <v>218</v>
      </c>
      <c r="K41" s="61" t="s">
        <v>219</v>
      </c>
      <c r="L41" s="61" t="s">
        <v>220</v>
      </c>
      <c r="M41" s="62" t="s">
        <v>95</v>
      </c>
      <c r="N41" s="62" t="s">
        <v>221</v>
      </c>
      <c r="O41" s="63" t="s">
        <v>222</v>
      </c>
      <c r="P41" s="64" t="s">
        <v>223</v>
      </c>
    </row>
    <row r="42" spans="1:16" ht="12.75" customHeight="1" x14ac:dyDescent="0.2">
      <c r="A42" s="21" t="str">
        <f t="shared" si="0"/>
        <v>IBVS 5940 </v>
      </c>
      <c r="B42" s="14" t="str">
        <f t="shared" si="1"/>
        <v>I</v>
      </c>
      <c r="C42" s="21">
        <f t="shared" si="2"/>
        <v>55292.580999999998</v>
      </c>
      <c r="D42" t="str">
        <f t="shared" si="3"/>
        <v>vis</v>
      </c>
      <c r="E42">
        <f>VLOOKUP(C42,Active!C$21:E$971,3,FALSE)</f>
        <v>6173.9950290960251</v>
      </c>
      <c r="F42" s="14" t="s">
        <v>77</v>
      </c>
      <c r="G42" t="str">
        <f t="shared" si="4"/>
        <v>55292.5810</v>
      </c>
      <c r="H42" s="21">
        <f t="shared" si="5"/>
        <v>41062</v>
      </c>
      <c r="I42" s="61" t="s">
        <v>224</v>
      </c>
      <c r="J42" s="62" t="s">
        <v>225</v>
      </c>
      <c r="K42" s="61" t="s">
        <v>226</v>
      </c>
      <c r="L42" s="61" t="s">
        <v>227</v>
      </c>
      <c r="M42" s="62" t="s">
        <v>95</v>
      </c>
      <c r="N42" s="62" t="s">
        <v>221</v>
      </c>
      <c r="O42" s="63" t="s">
        <v>222</v>
      </c>
      <c r="P42" s="64" t="s">
        <v>223</v>
      </c>
    </row>
    <row r="43" spans="1:16" ht="12.75" customHeight="1" x14ac:dyDescent="0.2">
      <c r="A43" s="21" t="str">
        <f t="shared" si="0"/>
        <v>IBVS 5940 </v>
      </c>
      <c r="B43" s="14" t="str">
        <f t="shared" si="1"/>
        <v>I</v>
      </c>
      <c r="C43" s="21">
        <f t="shared" si="2"/>
        <v>55293.456899999997</v>
      </c>
      <c r="D43" t="str">
        <f t="shared" si="3"/>
        <v>vis</v>
      </c>
      <c r="E43">
        <f>VLOOKUP(C43,Active!C$21:E$971,3,FALSE)</f>
        <v>6176.5011099686453</v>
      </c>
      <c r="F43" s="14" t="s">
        <v>77</v>
      </c>
      <c r="G43" t="str">
        <f t="shared" si="4"/>
        <v>55293.4569</v>
      </c>
      <c r="H43" s="21">
        <f t="shared" si="5"/>
        <v>41064</v>
      </c>
      <c r="I43" s="61" t="s">
        <v>228</v>
      </c>
      <c r="J43" s="62" t="s">
        <v>229</v>
      </c>
      <c r="K43" s="61" t="s">
        <v>230</v>
      </c>
      <c r="L43" s="61" t="s">
        <v>231</v>
      </c>
      <c r="M43" s="62" t="s">
        <v>95</v>
      </c>
      <c r="N43" s="62" t="s">
        <v>221</v>
      </c>
      <c r="O43" s="63" t="s">
        <v>222</v>
      </c>
      <c r="P43" s="64" t="s">
        <v>223</v>
      </c>
    </row>
    <row r="44" spans="1:16" ht="12.75" customHeight="1" x14ac:dyDescent="0.2">
      <c r="A44" s="21" t="str">
        <f t="shared" si="0"/>
        <v>IBVS 5940 </v>
      </c>
      <c r="B44" s="14" t="str">
        <f t="shared" si="1"/>
        <v>I</v>
      </c>
      <c r="C44" s="21">
        <f t="shared" si="2"/>
        <v>55303.415800000002</v>
      </c>
      <c r="D44" t="str">
        <f t="shared" si="3"/>
        <v>vis</v>
      </c>
      <c r="E44">
        <f>VLOOKUP(C44,Active!C$21:E$971,3,FALSE)</f>
        <v>6204.9950120149742</v>
      </c>
      <c r="F44" s="14" t="s">
        <v>77</v>
      </c>
      <c r="G44" t="str">
        <f t="shared" si="4"/>
        <v>55303.4158</v>
      </c>
      <c r="H44" s="21">
        <f t="shared" si="5"/>
        <v>41087</v>
      </c>
      <c r="I44" s="61" t="s">
        <v>232</v>
      </c>
      <c r="J44" s="62" t="s">
        <v>233</v>
      </c>
      <c r="K44" s="61" t="s">
        <v>234</v>
      </c>
      <c r="L44" s="61" t="s">
        <v>235</v>
      </c>
      <c r="M44" s="62" t="s">
        <v>95</v>
      </c>
      <c r="N44" s="62" t="s">
        <v>221</v>
      </c>
      <c r="O44" s="63" t="s">
        <v>222</v>
      </c>
      <c r="P44" s="64" t="s">
        <v>223</v>
      </c>
    </row>
    <row r="45" spans="1:16" ht="12.75" customHeight="1" x14ac:dyDescent="0.2">
      <c r="A45" s="21" t="str">
        <f t="shared" si="0"/>
        <v>IBVS 5940 </v>
      </c>
      <c r="B45" s="14" t="str">
        <f t="shared" si="1"/>
        <v>I</v>
      </c>
      <c r="C45" s="21">
        <f t="shared" si="2"/>
        <v>55305.339899999999</v>
      </c>
      <c r="D45" t="str">
        <f t="shared" si="3"/>
        <v>vis</v>
      </c>
      <c r="E45">
        <f>VLOOKUP(C45,Active!C$21:E$971,3,FALSE)</f>
        <v>6210.5001498240917</v>
      </c>
      <c r="F45" s="14" t="s">
        <v>77</v>
      </c>
      <c r="G45" t="str">
        <f t="shared" si="4"/>
        <v>55305.3399</v>
      </c>
      <c r="H45" s="21">
        <f t="shared" si="5"/>
        <v>41091</v>
      </c>
      <c r="I45" s="61" t="s">
        <v>236</v>
      </c>
      <c r="J45" s="62" t="s">
        <v>237</v>
      </c>
      <c r="K45" s="61" t="s">
        <v>238</v>
      </c>
      <c r="L45" s="61" t="s">
        <v>239</v>
      </c>
      <c r="M45" s="62" t="s">
        <v>95</v>
      </c>
      <c r="N45" s="62" t="s">
        <v>221</v>
      </c>
      <c r="O45" s="63" t="s">
        <v>222</v>
      </c>
      <c r="P45" s="64" t="s">
        <v>223</v>
      </c>
    </row>
    <row r="46" spans="1:16" ht="12.75" customHeight="1" x14ac:dyDescent="0.2">
      <c r="A46" s="21" t="str">
        <f t="shared" si="0"/>
        <v>IBVS 5940 </v>
      </c>
      <c r="B46" s="14" t="str">
        <f t="shared" si="1"/>
        <v>II</v>
      </c>
      <c r="C46" s="21">
        <f t="shared" si="2"/>
        <v>55305.512999999999</v>
      </c>
      <c r="D46" t="str">
        <f t="shared" si="3"/>
        <v>vis</v>
      </c>
      <c r="E46">
        <f>VLOOKUP(C46,Active!C$21:E$971,3,FALSE)</f>
        <v>6210.9954148075949</v>
      </c>
      <c r="F46" s="14" t="s">
        <v>77</v>
      </c>
      <c r="G46" t="str">
        <f t="shared" si="4"/>
        <v>55305.5130</v>
      </c>
      <c r="H46" s="21">
        <f t="shared" si="5"/>
        <v>41091.5</v>
      </c>
      <c r="I46" s="61" t="s">
        <v>240</v>
      </c>
      <c r="J46" s="62" t="s">
        <v>241</v>
      </c>
      <c r="K46" s="61" t="s">
        <v>242</v>
      </c>
      <c r="L46" s="61" t="s">
        <v>243</v>
      </c>
      <c r="M46" s="62" t="s">
        <v>95</v>
      </c>
      <c r="N46" s="62" t="s">
        <v>221</v>
      </c>
      <c r="O46" s="63" t="s">
        <v>222</v>
      </c>
      <c r="P46" s="64" t="s">
        <v>223</v>
      </c>
    </row>
    <row r="47" spans="1:16" ht="12.75" customHeight="1" x14ac:dyDescent="0.2">
      <c r="A47" s="21" t="str">
        <f t="shared" si="0"/>
        <v>BAVM 241 (=IBVS 6157) </v>
      </c>
      <c r="B47" s="14" t="str">
        <f t="shared" si="1"/>
        <v>I</v>
      </c>
      <c r="C47" s="21">
        <f t="shared" si="2"/>
        <v>56397.386100000003</v>
      </c>
      <c r="D47" t="str">
        <f t="shared" si="3"/>
        <v>vis</v>
      </c>
      <c r="E47">
        <f>VLOOKUP(C47,Active!C$21:E$971,3,FALSE)</f>
        <v>9335.0076208148366</v>
      </c>
      <c r="F47" s="14" t="s">
        <v>77</v>
      </c>
      <c r="G47" t="str">
        <f t="shared" si="4"/>
        <v>56397.3861</v>
      </c>
      <c r="H47" s="21">
        <f t="shared" si="5"/>
        <v>43590</v>
      </c>
      <c r="I47" s="61" t="s">
        <v>244</v>
      </c>
      <c r="J47" s="62" t="s">
        <v>245</v>
      </c>
      <c r="K47" s="61" t="s">
        <v>246</v>
      </c>
      <c r="L47" s="61" t="s">
        <v>247</v>
      </c>
      <c r="M47" s="62" t="s">
        <v>95</v>
      </c>
      <c r="N47" s="62" t="s">
        <v>96</v>
      </c>
      <c r="O47" s="63" t="s">
        <v>248</v>
      </c>
      <c r="P47" s="64" t="s">
        <v>249</v>
      </c>
    </row>
    <row r="48" spans="1:16" ht="12.75" customHeight="1" x14ac:dyDescent="0.2">
      <c r="A48" s="21" t="str">
        <f t="shared" si="0"/>
        <v> JAAVSO 42;426 </v>
      </c>
      <c r="B48" s="14" t="str">
        <f t="shared" si="1"/>
        <v>I</v>
      </c>
      <c r="C48" s="21">
        <f t="shared" si="2"/>
        <v>56409.269699999997</v>
      </c>
      <c r="D48" t="str">
        <f t="shared" si="3"/>
        <v>vis</v>
      </c>
      <c r="E48">
        <f>VLOOKUP(C48,Active!C$21:E$971,3,FALSE)</f>
        <v>9369.0083773599781</v>
      </c>
      <c r="F48" s="14" t="s">
        <v>77</v>
      </c>
      <c r="G48" t="str">
        <f t="shared" si="4"/>
        <v>56409.2697</v>
      </c>
      <c r="H48" s="21">
        <f t="shared" si="5"/>
        <v>43617</v>
      </c>
      <c r="I48" s="61" t="s">
        <v>250</v>
      </c>
      <c r="J48" s="62" t="s">
        <v>251</v>
      </c>
      <c r="K48" s="61" t="s">
        <v>252</v>
      </c>
      <c r="L48" s="61" t="s">
        <v>253</v>
      </c>
      <c r="M48" s="62" t="s">
        <v>95</v>
      </c>
      <c r="N48" s="62" t="s">
        <v>72</v>
      </c>
      <c r="O48" s="63" t="s">
        <v>254</v>
      </c>
      <c r="P48" s="63" t="s">
        <v>65</v>
      </c>
    </row>
    <row r="49" spans="1:16" ht="12.75" customHeight="1" x14ac:dyDescent="0.2">
      <c r="A49" s="21" t="str">
        <f t="shared" si="0"/>
        <v>BAVM 241 (=IBVS 6157) </v>
      </c>
      <c r="B49" s="14" t="str">
        <f t="shared" si="1"/>
        <v>I</v>
      </c>
      <c r="C49" s="21">
        <f t="shared" si="2"/>
        <v>56746.544500000004</v>
      </c>
      <c r="D49" t="str">
        <f t="shared" si="3"/>
        <v>vis</v>
      </c>
      <c r="E49">
        <f>VLOOKUP(C49,Active!C$21:E$971,3,FALSE)</f>
        <v>10334.002012589812</v>
      </c>
      <c r="F49" s="14" t="s">
        <v>77</v>
      </c>
      <c r="G49" t="str">
        <f t="shared" si="4"/>
        <v>56746.5445</v>
      </c>
      <c r="H49" s="21">
        <f t="shared" si="5"/>
        <v>44389</v>
      </c>
      <c r="I49" s="61" t="s">
        <v>255</v>
      </c>
      <c r="J49" s="62" t="s">
        <v>256</v>
      </c>
      <c r="K49" s="61" t="s">
        <v>257</v>
      </c>
      <c r="L49" s="61" t="s">
        <v>258</v>
      </c>
      <c r="M49" s="62" t="s">
        <v>95</v>
      </c>
      <c r="N49" s="62" t="s">
        <v>259</v>
      </c>
      <c r="O49" s="63" t="s">
        <v>248</v>
      </c>
      <c r="P49" s="64" t="s">
        <v>249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4" r:id="rId14" xr:uid="{00000000-0004-0000-0100-00000D000000}"/>
    <hyperlink ref="P25" r:id="rId15" xr:uid="{00000000-0004-0000-0100-00000E000000}"/>
    <hyperlink ref="P26" r:id="rId16" xr:uid="{00000000-0004-0000-0100-00000F000000}"/>
    <hyperlink ref="P27" r:id="rId17" xr:uid="{00000000-0004-0000-0100-000010000000}"/>
    <hyperlink ref="P28" r:id="rId18" xr:uid="{00000000-0004-0000-0100-000011000000}"/>
    <hyperlink ref="P29" r:id="rId19" xr:uid="{00000000-0004-0000-0100-000012000000}"/>
    <hyperlink ref="P30" r:id="rId20" xr:uid="{00000000-0004-0000-0100-000013000000}"/>
    <hyperlink ref="P31" r:id="rId21" xr:uid="{00000000-0004-0000-0100-000014000000}"/>
    <hyperlink ref="P32" r:id="rId22" xr:uid="{00000000-0004-0000-0100-000015000000}"/>
    <hyperlink ref="P33" r:id="rId23" xr:uid="{00000000-0004-0000-0100-000016000000}"/>
    <hyperlink ref="P34" r:id="rId24" xr:uid="{00000000-0004-0000-0100-000017000000}"/>
    <hyperlink ref="P35" r:id="rId25" xr:uid="{00000000-0004-0000-0100-000018000000}"/>
    <hyperlink ref="P36" r:id="rId26" xr:uid="{00000000-0004-0000-0100-000019000000}"/>
    <hyperlink ref="P39" r:id="rId27" xr:uid="{00000000-0004-0000-0100-00001A000000}"/>
    <hyperlink ref="P40" r:id="rId28" xr:uid="{00000000-0004-0000-0100-00001B000000}"/>
    <hyperlink ref="P41" r:id="rId29" xr:uid="{00000000-0004-0000-0100-00001C000000}"/>
    <hyperlink ref="P42" r:id="rId30" xr:uid="{00000000-0004-0000-0100-00001D000000}"/>
    <hyperlink ref="P43" r:id="rId31" xr:uid="{00000000-0004-0000-0100-00001E000000}"/>
    <hyperlink ref="P44" r:id="rId32" xr:uid="{00000000-0004-0000-0100-00001F000000}"/>
    <hyperlink ref="P45" r:id="rId33" xr:uid="{00000000-0004-0000-0100-000020000000}"/>
    <hyperlink ref="P46" r:id="rId34" xr:uid="{00000000-0004-0000-0100-000021000000}"/>
    <hyperlink ref="P47" r:id="rId35" xr:uid="{00000000-0004-0000-0100-000022000000}"/>
    <hyperlink ref="P49" r:id="rId36" xr:uid="{00000000-0004-0000-0100-00002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0"/>
  <sheetViews>
    <sheetView workbookViewId="0">
      <selection activeCell="A48" sqref="A4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6.140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1" t="s">
        <v>2</v>
      </c>
    </row>
    <row r="4" spans="1:7" x14ac:dyDescent="0.2">
      <c r="A4" s="3" t="s">
        <v>4</v>
      </c>
      <c r="C4" s="4">
        <v>37347.523999999998</v>
      </c>
      <c r="D4" s="5">
        <v>0.43701600000000002</v>
      </c>
    </row>
    <row r="6" spans="1:7" x14ac:dyDescent="0.2">
      <c r="A6" s="3" t="s">
        <v>7</v>
      </c>
    </row>
    <row r="7" spans="1:7" x14ac:dyDescent="0.2">
      <c r="A7" s="1" t="s">
        <v>8</v>
      </c>
      <c r="C7" s="1">
        <f>+C4</f>
        <v>37347.523999999998</v>
      </c>
    </row>
    <row r="8" spans="1:7" x14ac:dyDescent="0.2">
      <c r="A8" s="1" t="s">
        <v>9</v>
      </c>
      <c r="C8" s="1">
        <f>+D4</f>
        <v>0.43701600000000002</v>
      </c>
    </row>
    <row r="9" spans="1:7" x14ac:dyDescent="0.2">
      <c r="A9" s="6" t="s">
        <v>5</v>
      </c>
      <c r="B9"/>
      <c r="C9" s="7">
        <v>8</v>
      </c>
      <c r="D9" t="s">
        <v>6</v>
      </c>
      <c r="E9"/>
    </row>
    <row r="10" spans="1:7" x14ac:dyDescent="0.2">
      <c r="A10"/>
      <c r="B10"/>
      <c r="C10" s="12" t="s">
        <v>11</v>
      </c>
      <c r="D10" s="12" t="s">
        <v>12</v>
      </c>
      <c r="E10"/>
    </row>
    <row r="11" spans="1:7" x14ac:dyDescent="0.2">
      <c r="A11" t="s">
        <v>13</v>
      </c>
      <c r="B11"/>
      <c r="C11" s="13">
        <f ca="1">INTERCEPT(INDIRECT($G$11):G991,INDIRECT($F$11):F991)</f>
        <v>0.20008793197483554</v>
      </c>
      <c r="D11" s="14"/>
      <c r="E11"/>
      <c r="F11" s="10" t="str">
        <f>"F"&amp;E19</f>
        <v>F21</v>
      </c>
      <c r="G11" s="11" t="str">
        <f>"G"&amp;E19</f>
        <v>G21</v>
      </c>
    </row>
    <row r="12" spans="1:7" x14ac:dyDescent="0.2">
      <c r="A12" t="s">
        <v>14</v>
      </c>
      <c r="B12"/>
      <c r="C12" s="13">
        <f ca="1">SLOPE(INDIRECT($G$11):G991,INDIRECT($F$11):F991)</f>
        <v>-1.6353980400006412E-5</v>
      </c>
      <c r="D12" s="14"/>
      <c r="E12"/>
    </row>
    <row r="13" spans="1:7" x14ac:dyDescent="0.2">
      <c r="A13" t="s">
        <v>15</v>
      </c>
      <c r="B13"/>
      <c r="C13" s="14" t="s">
        <v>16</v>
      </c>
      <c r="D13" s="8" t="s">
        <v>18</v>
      </c>
      <c r="E13" s="7">
        <v>1</v>
      </c>
    </row>
    <row r="14" spans="1:7" x14ac:dyDescent="0.2">
      <c r="A14"/>
      <c r="B14"/>
      <c r="C14"/>
      <c r="D14" s="8" t="s">
        <v>20</v>
      </c>
      <c r="E14" s="65">
        <f ca="1">NOW()+15018.5+$C$9/24</f>
        <v>60686.425971643519</v>
      </c>
    </row>
    <row r="15" spans="1:7" x14ac:dyDescent="0.2">
      <c r="A15" s="15" t="s">
        <v>17</v>
      </c>
      <c r="B15"/>
      <c r="C15" s="16">
        <f ca="1">(C7+C11)+(C8+C12)*INT(MAX(F21:F3532))</f>
        <v>55660.631254029329</v>
      </c>
      <c r="D15" s="8" t="s">
        <v>22</v>
      </c>
      <c r="E15" s="13">
        <f ca="1">ROUND(2*(E14-$C$7)/$C$8,0)/2+E13</f>
        <v>53406</v>
      </c>
    </row>
    <row r="16" spans="1:7" x14ac:dyDescent="0.2">
      <c r="A16" s="15" t="s">
        <v>19</v>
      </c>
      <c r="B16"/>
      <c r="C16" s="16">
        <f ca="1">+C8+C12</f>
        <v>0.43699964601960001</v>
      </c>
      <c r="D16" s="8" t="s">
        <v>24</v>
      </c>
      <c r="E16" s="11">
        <f ca="1">ROUND(2*(E14-$C$15)/$C$16,0)/2+E13</f>
        <v>11501.5</v>
      </c>
    </row>
    <row r="17" spans="1:18" x14ac:dyDescent="0.2">
      <c r="A17" s="8" t="s">
        <v>21</v>
      </c>
      <c r="B17"/>
      <c r="C17">
        <f>COUNT(C21:C2190)</f>
        <v>20</v>
      </c>
      <c r="D17" s="8" t="s">
        <v>25</v>
      </c>
      <c r="E17" s="19">
        <f ca="1">+$C$15+$C$16*E16-15018.5-$C$9/24</f>
        <v>45667.949349390423</v>
      </c>
    </row>
    <row r="18" spans="1:18" x14ac:dyDescent="0.2">
      <c r="A18" s="15" t="s">
        <v>23</v>
      </c>
      <c r="B18"/>
      <c r="C18" s="17">
        <f ca="1">+C15</f>
        <v>55660.631254029329</v>
      </c>
      <c r="D18" s="18">
        <f ca="1">+C16</f>
        <v>0.43699964601960001</v>
      </c>
      <c r="E18" s="66" t="s">
        <v>260</v>
      </c>
    </row>
    <row r="19" spans="1:18" x14ac:dyDescent="0.2">
      <c r="A19" s="8" t="s">
        <v>10</v>
      </c>
      <c r="E19" s="9">
        <v>21</v>
      </c>
    </row>
    <row r="20" spans="1:18" x14ac:dyDescent="0.2">
      <c r="A20" s="12" t="s">
        <v>26</v>
      </c>
      <c r="B20" s="12" t="s">
        <v>27</v>
      </c>
      <c r="C20" s="12" t="s">
        <v>28</v>
      </c>
      <c r="D20" s="12" t="s">
        <v>29</v>
      </c>
      <c r="E20" s="12" t="s">
        <v>30</v>
      </c>
      <c r="F20" s="12" t="s">
        <v>31</v>
      </c>
      <c r="G20" s="12" t="s">
        <v>32</v>
      </c>
      <c r="H20" s="20" t="s">
        <v>44</v>
      </c>
      <c r="I20" s="20" t="s">
        <v>261</v>
      </c>
      <c r="J20" s="20" t="s">
        <v>262</v>
      </c>
      <c r="K20" s="20" t="s">
        <v>263</v>
      </c>
      <c r="L20" s="20" t="s">
        <v>37</v>
      </c>
      <c r="M20" s="20" t="s">
        <v>38</v>
      </c>
      <c r="N20" s="20" t="s">
        <v>39</v>
      </c>
      <c r="O20" s="20" t="s">
        <v>40</v>
      </c>
      <c r="P20" s="20" t="s">
        <v>41</v>
      </c>
      <c r="Q20" s="12" t="s">
        <v>42</v>
      </c>
      <c r="R20" s="20" t="s">
        <v>43</v>
      </c>
    </row>
    <row r="21" spans="1:18" x14ac:dyDescent="0.2">
      <c r="A21" s="1" t="s">
        <v>44</v>
      </c>
      <c r="C21" s="21">
        <f>+C4</f>
        <v>37347.523999999998</v>
      </c>
      <c r="D21" s="21" t="s">
        <v>16</v>
      </c>
      <c r="E21" s="1">
        <f t="shared" ref="E21:E40" si="0">+(C21-C$7)/C$8</f>
        <v>0</v>
      </c>
      <c r="F21" s="67">
        <v>-0.5</v>
      </c>
      <c r="G21" s="1">
        <f>+C21-(C$7+F21*C$8)</f>
        <v>0.21850799999810988</v>
      </c>
      <c r="H21" s="1">
        <f>G21</f>
        <v>0.21850799999810988</v>
      </c>
      <c r="O21" s="1">
        <f t="shared" ref="O21:O40" ca="1" si="1">+C$11+C$12*$F21</f>
        <v>0.20009610896503555</v>
      </c>
      <c r="Q21" s="22">
        <f t="shared" ref="Q21:Q40" si="2">+C21-15018.5</f>
        <v>22329.023999999998</v>
      </c>
    </row>
    <row r="22" spans="1:18" x14ac:dyDescent="0.2">
      <c r="A22" s="26" t="s">
        <v>48</v>
      </c>
      <c r="B22" s="27" t="s">
        <v>46</v>
      </c>
      <c r="C22" s="21">
        <v>53134.708299999998</v>
      </c>
      <c r="D22" s="21">
        <v>2.0000000000000001E-4</v>
      </c>
      <c r="E22" s="1">
        <f t="shared" si="0"/>
        <v>36124.957209804677</v>
      </c>
      <c r="F22" s="1">
        <f t="shared" ref="F22:F40" si="3">ROUND(2*E22,0)/2+1</f>
        <v>36126</v>
      </c>
      <c r="G22" s="1">
        <f>+C22-(C$7+F22*C$8)</f>
        <v>-0.45571599999675527</v>
      </c>
      <c r="I22" s="1">
        <f>+G22</f>
        <v>-0.45571599999675527</v>
      </c>
      <c r="O22" s="1">
        <f t="shared" ca="1" si="1"/>
        <v>-0.39071596395579611</v>
      </c>
      <c r="Q22" s="22">
        <f t="shared" si="2"/>
        <v>38116.208299999998</v>
      </c>
    </row>
    <row r="23" spans="1:18" x14ac:dyDescent="0.2">
      <c r="A23" s="28" t="s">
        <v>49</v>
      </c>
      <c r="B23" s="29"/>
      <c r="C23" s="30">
        <v>53451.535499999998</v>
      </c>
      <c r="D23" s="30">
        <v>8.9999999999999998E-4</v>
      </c>
      <c r="E23" s="1">
        <f t="shared" si="0"/>
        <v>36849.935700294729</v>
      </c>
      <c r="F23" s="1">
        <f t="shared" si="3"/>
        <v>36851</v>
      </c>
      <c r="G23" s="1">
        <f>+C23-(C$7+F23*C$8)</f>
        <v>-0.4651159999993979</v>
      </c>
      <c r="I23" s="1">
        <f>+G23</f>
        <v>-0.4651159999993979</v>
      </c>
      <c r="O23" s="1">
        <f t="shared" ca="1" si="1"/>
        <v>-0.40257259974580073</v>
      </c>
      <c r="Q23" s="22">
        <f t="shared" si="2"/>
        <v>38433.035499999998</v>
      </c>
    </row>
    <row r="24" spans="1:18" x14ac:dyDescent="0.2">
      <c r="A24" s="31" t="s">
        <v>50</v>
      </c>
      <c r="B24" s="32"/>
      <c r="C24" s="30">
        <v>53821.6682</v>
      </c>
      <c r="D24" s="30">
        <v>5.0000000000000001E-4</v>
      </c>
      <c r="E24" s="1">
        <f t="shared" si="0"/>
        <v>37696.890274040314</v>
      </c>
      <c r="F24" s="1">
        <f t="shared" si="3"/>
        <v>37698</v>
      </c>
      <c r="G24" s="1">
        <f>+C24-(C$7+F24*C$8)</f>
        <v>-0.48496799999702489</v>
      </c>
      <c r="J24" s="1">
        <f>+G24</f>
        <v>-0.48496799999702489</v>
      </c>
      <c r="O24" s="1">
        <f t="shared" ca="1" si="1"/>
        <v>-0.4164244211446062</v>
      </c>
      <c r="Q24" s="22">
        <f t="shared" si="2"/>
        <v>38803.1682</v>
      </c>
    </row>
    <row r="25" spans="1:18" x14ac:dyDescent="0.2">
      <c r="A25" s="30" t="s">
        <v>52</v>
      </c>
      <c r="B25" s="33" t="s">
        <v>53</v>
      </c>
      <c r="C25" s="30">
        <v>54862.860999999997</v>
      </c>
      <c r="D25" s="30">
        <v>1.1999999999999999E-3</v>
      </c>
      <c r="E25" s="1">
        <f t="shared" si="0"/>
        <v>40079.395262416016</v>
      </c>
      <c r="F25" s="1">
        <f t="shared" si="3"/>
        <v>40080.5</v>
      </c>
      <c r="I25" s="11"/>
      <c r="O25" s="1">
        <f t="shared" ca="1" si="1"/>
        <v>-0.45538777944762143</v>
      </c>
      <c r="Q25" s="22">
        <f t="shared" si="2"/>
        <v>39844.360999999997</v>
      </c>
      <c r="R25" s="11">
        <v>-0.48278800000116462</v>
      </c>
    </row>
    <row r="26" spans="1:18" x14ac:dyDescent="0.2">
      <c r="A26" s="30" t="s">
        <v>52</v>
      </c>
      <c r="B26" s="33" t="s">
        <v>46</v>
      </c>
      <c r="C26" s="30">
        <v>54890.647900000004</v>
      </c>
      <c r="D26" s="30">
        <v>2.0000000000000001E-4</v>
      </c>
      <c r="E26" s="1">
        <f t="shared" si="0"/>
        <v>40142.978517949014</v>
      </c>
      <c r="F26" s="1">
        <f t="shared" si="3"/>
        <v>40144</v>
      </c>
      <c r="I26" s="11"/>
      <c r="O26" s="1">
        <f t="shared" ca="1" si="1"/>
        <v>-0.45642625720302188</v>
      </c>
      <c r="Q26" s="22">
        <f t="shared" si="2"/>
        <v>39872.147900000004</v>
      </c>
      <c r="R26" s="11">
        <v>-0.44640399999479996</v>
      </c>
    </row>
    <row r="27" spans="1:18" x14ac:dyDescent="0.2">
      <c r="A27" s="30" t="s">
        <v>52</v>
      </c>
      <c r="B27" s="33" t="s">
        <v>53</v>
      </c>
      <c r="C27" s="30">
        <v>54890.819900000002</v>
      </c>
      <c r="D27" s="30">
        <v>4.0000000000000002E-4</v>
      </c>
      <c r="E27" s="1">
        <f t="shared" si="0"/>
        <v>40143.372096216168</v>
      </c>
      <c r="F27" s="1">
        <f t="shared" si="3"/>
        <v>40144.5</v>
      </c>
      <c r="I27" s="11"/>
      <c r="O27" s="1">
        <f t="shared" ca="1" si="1"/>
        <v>-0.45643443419322183</v>
      </c>
      <c r="Q27" s="22">
        <f t="shared" si="2"/>
        <v>39872.319900000002</v>
      </c>
      <c r="R27" s="11">
        <v>-0.49291199999424862</v>
      </c>
    </row>
    <row r="28" spans="1:18" x14ac:dyDescent="0.2">
      <c r="A28" s="68" t="s">
        <v>54</v>
      </c>
      <c r="B28" s="69" t="s">
        <v>46</v>
      </c>
      <c r="C28" s="68">
        <v>54923.501400000001</v>
      </c>
      <c r="D28" s="68">
        <v>4.0000000000000002E-4</v>
      </c>
      <c r="E28" s="1">
        <f t="shared" si="0"/>
        <v>40218.155399344651</v>
      </c>
      <c r="F28" s="1">
        <f t="shared" si="3"/>
        <v>40219</v>
      </c>
      <c r="O28" s="1">
        <f t="shared" ca="1" si="1"/>
        <v>-0.45765280573302236</v>
      </c>
      <c r="Q28" s="22">
        <f t="shared" si="2"/>
        <v>39905.001400000001</v>
      </c>
      <c r="R28" s="11">
        <v>-0.36910399999760557</v>
      </c>
    </row>
    <row r="29" spans="1:18" x14ac:dyDescent="0.2">
      <c r="A29" s="70" t="s">
        <v>55</v>
      </c>
      <c r="B29" s="71" t="s">
        <v>46</v>
      </c>
      <c r="C29" s="70">
        <v>54931.365100000003</v>
      </c>
      <c r="D29" s="70" t="s">
        <v>264</v>
      </c>
      <c r="E29" s="1">
        <f t="shared" si="0"/>
        <v>40236.149477364685</v>
      </c>
      <c r="F29" s="1">
        <f t="shared" si="3"/>
        <v>40237</v>
      </c>
      <c r="G29" s="1">
        <f>+C29-(C$7+F29*C$8)</f>
        <v>-0.37169199999334523</v>
      </c>
      <c r="I29" s="1">
        <f>+G29</f>
        <v>-0.37169199999334523</v>
      </c>
      <c r="O29" s="1">
        <f t="shared" ca="1" si="1"/>
        <v>-0.45794717738022239</v>
      </c>
      <c r="Q29" s="22">
        <f t="shared" si="2"/>
        <v>39912.865100000003</v>
      </c>
    </row>
    <row r="30" spans="1:18" x14ac:dyDescent="0.2">
      <c r="A30" s="70" t="s">
        <v>55</v>
      </c>
      <c r="B30" s="71" t="s">
        <v>53</v>
      </c>
      <c r="C30" s="70">
        <v>54931.540300000001</v>
      </c>
      <c r="D30" s="70" t="s">
        <v>265</v>
      </c>
      <c r="E30" s="1">
        <f t="shared" si="0"/>
        <v>40236.550378018204</v>
      </c>
      <c r="F30" s="1">
        <f t="shared" si="3"/>
        <v>40237.5</v>
      </c>
      <c r="G30" s="1">
        <f>+C30-(C$7+F30*C$8)</f>
        <v>-0.41500000000087311</v>
      </c>
      <c r="I30" s="1">
        <f>+G30</f>
        <v>-0.41500000000087311</v>
      </c>
      <c r="O30" s="1">
        <f t="shared" ca="1" si="1"/>
        <v>-0.45795535437042245</v>
      </c>
      <c r="Q30" s="22">
        <f t="shared" si="2"/>
        <v>39913.040300000001</v>
      </c>
    </row>
    <row r="31" spans="1:18" x14ac:dyDescent="0.2">
      <c r="A31" s="68" t="s">
        <v>54</v>
      </c>
      <c r="B31" s="69" t="s">
        <v>46</v>
      </c>
      <c r="C31" s="68">
        <v>54942.375599999999</v>
      </c>
      <c r="D31" s="68">
        <v>6.9999999999999999E-4</v>
      </c>
      <c r="E31" s="1">
        <f t="shared" si="0"/>
        <v>40261.344207077091</v>
      </c>
      <c r="F31" s="1">
        <f t="shared" si="3"/>
        <v>40262.5</v>
      </c>
      <c r="O31" s="1">
        <f t="shared" ca="1" si="1"/>
        <v>-0.45836420388042265</v>
      </c>
      <c r="Q31" s="22">
        <f t="shared" si="2"/>
        <v>39923.875599999999</v>
      </c>
      <c r="R31" s="11">
        <v>-0.50509999999485444</v>
      </c>
    </row>
    <row r="32" spans="1:18" x14ac:dyDescent="0.2">
      <c r="A32" s="68" t="s">
        <v>54</v>
      </c>
      <c r="B32" s="69" t="s">
        <v>53</v>
      </c>
      <c r="C32" s="68">
        <v>54942.548000000003</v>
      </c>
      <c r="D32" s="68">
        <v>5.0000000000000001E-4</v>
      </c>
      <c r="E32" s="1">
        <f t="shared" si="0"/>
        <v>40261.738700642549</v>
      </c>
      <c r="F32" s="1">
        <f t="shared" si="3"/>
        <v>40262.5</v>
      </c>
      <c r="O32" s="1">
        <f t="shared" ca="1" si="1"/>
        <v>-0.45836420388042265</v>
      </c>
      <c r="Q32" s="22">
        <f t="shared" si="2"/>
        <v>39924.048000000003</v>
      </c>
      <c r="R32" s="11">
        <v>-0.33269999999174615</v>
      </c>
    </row>
    <row r="33" spans="1:18" x14ac:dyDescent="0.2">
      <c r="A33" s="68" t="s">
        <v>54</v>
      </c>
      <c r="B33" s="69" t="s">
        <v>46</v>
      </c>
      <c r="C33" s="68">
        <v>54943.423000000003</v>
      </c>
      <c r="D33" s="68">
        <v>6.9999999999999999E-4</v>
      </c>
      <c r="E33" s="1">
        <f t="shared" si="0"/>
        <v>40263.740915664428</v>
      </c>
      <c r="F33" s="1">
        <f t="shared" si="3"/>
        <v>40264.5</v>
      </c>
      <c r="O33" s="1">
        <f t="shared" ca="1" si="1"/>
        <v>-0.45839691184122267</v>
      </c>
      <c r="Q33" s="22">
        <f t="shared" si="2"/>
        <v>39924.923000000003</v>
      </c>
      <c r="R33" s="11">
        <v>-0.33173199999873759</v>
      </c>
    </row>
    <row r="34" spans="1:18" x14ac:dyDescent="0.2">
      <c r="A34" s="68" t="s">
        <v>54</v>
      </c>
      <c r="B34" s="69" t="s">
        <v>53</v>
      </c>
      <c r="C34" s="68">
        <v>54943.597099999999</v>
      </c>
      <c r="D34" s="68">
        <v>8.9999999999999998E-4</v>
      </c>
      <c r="E34" s="1">
        <f t="shared" si="0"/>
        <v>40264.139299247625</v>
      </c>
      <c r="F34" s="1">
        <f t="shared" si="3"/>
        <v>40265</v>
      </c>
      <c r="O34" s="1">
        <f t="shared" ca="1" si="1"/>
        <v>-0.45840508883142261</v>
      </c>
      <c r="Q34" s="22">
        <f t="shared" si="2"/>
        <v>39925.097099999999</v>
      </c>
      <c r="R34" s="11">
        <v>-0.37614000000030501</v>
      </c>
    </row>
    <row r="35" spans="1:18" x14ac:dyDescent="0.2">
      <c r="A35" s="68" t="s">
        <v>54</v>
      </c>
      <c r="B35" s="69" t="s">
        <v>46</v>
      </c>
      <c r="C35" s="68">
        <v>54944.472199999997</v>
      </c>
      <c r="D35" s="68">
        <v>6.9999999999999999E-4</v>
      </c>
      <c r="E35" s="1">
        <f t="shared" si="0"/>
        <v>40266.141743094071</v>
      </c>
      <c r="F35" s="1">
        <f t="shared" si="3"/>
        <v>40267</v>
      </c>
      <c r="O35" s="1">
        <f t="shared" ca="1" si="1"/>
        <v>-0.45843779679222263</v>
      </c>
      <c r="Q35" s="22">
        <f t="shared" si="2"/>
        <v>39925.972199999997</v>
      </c>
      <c r="R35" s="11">
        <v>-0.3750720000025467</v>
      </c>
    </row>
    <row r="36" spans="1:18" x14ac:dyDescent="0.2">
      <c r="A36" s="68" t="s">
        <v>56</v>
      </c>
      <c r="B36" s="69" t="s">
        <v>46</v>
      </c>
      <c r="C36" s="68">
        <v>55277.902300000002</v>
      </c>
      <c r="D36" s="68">
        <v>4.0000000000000002E-4</v>
      </c>
      <c r="E36" s="1">
        <f t="shared" si="0"/>
        <v>41029.111748768933</v>
      </c>
      <c r="F36" s="1">
        <f t="shared" si="3"/>
        <v>41030</v>
      </c>
      <c r="O36" s="1">
        <f t="shared" ca="1" si="1"/>
        <v>-0.47091588383742755</v>
      </c>
      <c r="Q36" s="22">
        <f t="shared" si="2"/>
        <v>40259.402300000002</v>
      </c>
      <c r="R36" s="11">
        <v>-0.38817999999446329</v>
      </c>
    </row>
    <row r="37" spans="1:18" x14ac:dyDescent="0.2">
      <c r="A37" s="70" t="s">
        <v>58</v>
      </c>
      <c r="B37" s="71" t="s">
        <v>46</v>
      </c>
      <c r="C37" s="70">
        <v>55311.454299999998</v>
      </c>
      <c r="D37" s="70" t="s">
        <v>266</v>
      </c>
      <c r="E37" s="1">
        <f t="shared" si="0"/>
        <v>41105.886969813459</v>
      </c>
      <c r="F37" s="1">
        <f t="shared" si="3"/>
        <v>41107</v>
      </c>
      <c r="G37" s="1">
        <f>+C37-(C$7+F37*C$8)</f>
        <v>-0.48641199999838136</v>
      </c>
      <c r="I37" s="1">
        <f>+G37</f>
        <v>-0.48641199999838136</v>
      </c>
      <c r="O37" s="1">
        <f t="shared" ca="1" si="1"/>
        <v>-0.47217514032822805</v>
      </c>
      <c r="Q37" s="22">
        <f t="shared" si="2"/>
        <v>40292.954299999998</v>
      </c>
    </row>
    <row r="38" spans="1:18" x14ac:dyDescent="0.2">
      <c r="A38" s="70" t="s">
        <v>59</v>
      </c>
      <c r="B38" s="71" t="s">
        <v>46</v>
      </c>
      <c r="C38" s="70">
        <v>55615.882100000003</v>
      </c>
      <c r="D38" s="70">
        <v>5.0000000000000001E-4</v>
      </c>
      <c r="E38" s="1">
        <f t="shared" si="0"/>
        <v>41802.492586083812</v>
      </c>
      <c r="F38" s="1">
        <f t="shared" si="3"/>
        <v>41803.5</v>
      </c>
      <c r="G38" s="1">
        <f>+C38-(C$7+F38*C$8)</f>
        <v>-0.44025599999440601</v>
      </c>
      <c r="I38" s="1">
        <f>+G38</f>
        <v>-0.44025599999440601</v>
      </c>
      <c r="O38" s="1">
        <f t="shared" ca="1" si="1"/>
        <v>-0.4835656876768325</v>
      </c>
      <c r="Q38" s="22">
        <f t="shared" si="2"/>
        <v>40597.382100000003</v>
      </c>
    </row>
    <row r="39" spans="1:18" x14ac:dyDescent="0.2">
      <c r="A39" s="70" t="s">
        <v>60</v>
      </c>
      <c r="B39" s="71" t="s">
        <v>53</v>
      </c>
      <c r="C39" s="70">
        <v>55660.444100000001</v>
      </c>
      <c r="D39" s="70" t="s">
        <v>264</v>
      </c>
      <c r="E39" s="1">
        <f t="shared" si="0"/>
        <v>41904.461392717894</v>
      </c>
      <c r="F39" s="1">
        <f t="shared" si="3"/>
        <v>41905.5</v>
      </c>
      <c r="G39" s="1">
        <f>+C39-(C$7+F39*C$8)</f>
        <v>-0.45388799999636831</v>
      </c>
      <c r="I39" s="1">
        <f>+G39</f>
        <v>-0.45388799999636831</v>
      </c>
      <c r="O39" s="1">
        <f t="shared" ca="1" si="1"/>
        <v>-0.4852337936776332</v>
      </c>
      <c r="Q39" s="22">
        <f t="shared" si="2"/>
        <v>40641.944100000001</v>
      </c>
    </row>
    <row r="40" spans="1:18" x14ac:dyDescent="0.2">
      <c r="A40" s="70" t="s">
        <v>60</v>
      </c>
      <c r="B40" s="71" t="s">
        <v>46</v>
      </c>
      <c r="C40" s="70">
        <v>55660.619299999998</v>
      </c>
      <c r="D40" s="70" t="s">
        <v>267</v>
      </c>
      <c r="E40" s="1">
        <f t="shared" si="0"/>
        <v>41904.862293371407</v>
      </c>
      <c r="F40" s="1">
        <f t="shared" si="3"/>
        <v>41906</v>
      </c>
      <c r="G40" s="1">
        <f>+C40-(C$7+F40*C$8)</f>
        <v>-0.49719600000389619</v>
      </c>
      <c r="I40" s="1">
        <f>+G40</f>
        <v>-0.49719600000389619</v>
      </c>
      <c r="O40" s="1">
        <f t="shared" ca="1" si="1"/>
        <v>-0.48524197066783314</v>
      </c>
      <c r="Q40" s="22">
        <f t="shared" si="2"/>
        <v>40642.119299999998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2023-01-25T04:48:47Z</dcterms:created>
  <dcterms:modified xsi:type="dcterms:W3CDTF">2025-01-10T03:43:24Z</dcterms:modified>
</cp:coreProperties>
</file>