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A697BFC-576E-4FC1-8929-4A55077F7A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7" i="1" l="1"/>
  <c r="F47" i="1" s="1"/>
  <c r="G47" i="1" s="1"/>
  <c r="K47" i="1" s="1"/>
  <c r="Q47" i="1"/>
  <c r="E21" i="1"/>
  <c r="F21" i="1" s="1"/>
  <c r="G21" i="1" s="1"/>
  <c r="K21" i="1" s="1"/>
  <c r="Q21" i="1"/>
  <c r="F14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C9" i="1"/>
  <c r="D9" i="1"/>
  <c r="C17" i="1"/>
  <c r="E22" i="1"/>
  <c r="F22" i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E25" i="1"/>
  <c r="F25" i="1"/>
  <c r="G25" i="1" s="1"/>
  <c r="J25" i="1" s="1"/>
  <c r="Q25" i="1"/>
  <c r="E26" i="1"/>
  <c r="F26" i="1" s="1"/>
  <c r="G26" i="1" s="1"/>
  <c r="J26" i="1" s="1"/>
  <c r="Q26" i="1"/>
  <c r="E27" i="1"/>
  <c r="F27" i="1" s="1"/>
  <c r="G27" i="1" s="1"/>
  <c r="J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E14" i="2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E19" i="2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1" i="1"/>
  <c r="F41" i="1"/>
  <c r="G41" i="1" s="1"/>
  <c r="K41" i="1" s="1"/>
  <c r="Q41" i="1"/>
  <c r="E40" i="1"/>
  <c r="F40" i="1" s="1"/>
  <c r="G40" i="1" s="1"/>
  <c r="K40" i="1" s="1"/>
  <c r="Q40" i="1"/>
  <c r="E42" i="1"/>
  <c r="F42" i="1" s="1"/>
  <c r="G42" i="1" s="1"/>
  <c r="K42" i="1" s="1"/>
  <c r="Q42" i="1"/>
  <c r="E43" i="1"/>
  <c r="F43" i="1" s="1"/>
  <c r="G43" i="1" s="1"/>
  <c r="K43" i="1" s="1"/>
  <c r="Q43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E13" i="2"/>
  <c r="H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D16" i="2"/>
  <c r="G16" i="2"/>
  <c r="C16" i="2"/>
  <c r="H16" i="2"/>
  <c r="B16" i="2"/>
  <c r="A17" i="2"/>
  <c r="B17" i="2"/>
  <c r="D17" i="2"/>
  <c r="G17" i="2"/>
  <c r="C17" i="2"/>
  <c r="H17" i="2"/>
  <c r="A18" i="2"/>
  <c r="D18" i="2"/>
  <c r="G18" i="2"/>
  <c r="C18" i="2"/>
  <c r="E18" i="2"/>
  <c r="H18" i="2"/>
  <c r="B18" i="2"/>
  <c r="A19" i="2"/>
  <c r="C19" i="2"/>
  <c r="D19" i="2"/>
  <c r="G19" i="2"/>
  <c r="H19" i="2"/>
  <c r="B19" i="2"/>
  <c r="E17" i="2" l="1"/>
  <c r="E16" i="2"/>
  <c r="E15" i="2"/>
  <c r="E11" i="2"/>
  <c r="F35" i="1"/>
  <c r="G35" i="1" s="1"/>
  <c r="E12" i="2"/>
  <c r="F31" i="1"/>
  <c r="G31" i="1" s="1"/>
  <c r="K31" i="1" s="1"/>
  <c r="F15" i="1"/>
  <c r="C12" i="1"/>
  <c r="C11" i="1"/>
  <c r="O45" i="1" l="1"/>
  <c r="O26" i="1"/>
  <c r="O36" i="1"/>
  <c r="O40" i="1"/>
  <c r="O44" i="1"/>
  <c r="O27" i="1"/>
  <c r="O22" i="1"/>
  <c r="O24" i="1"/>
  <c r="O30" i="1"/>
  <c r="O21" i="1"/>
  <c r="C15" i="1"/>
  <c r="C18" i="1" s="1"/>
  <c r="O23" i="1"/>
  <c r="O29" i="1"/>
  <c r="O42" i="1"/>
  <c r="O41" i="1"/>
  <c r="O43" i="1"/>
  <c r="O28" i="1"/>
  <c r="O46" i="1"/>
  <c r="O34" i="1"/>
  <c r="O39" i="1"/>
  <c r="O25" i="1"/>
  <c r="O47" i="1"/>
  <c r="O33" i="1"/>
  <c r="O38" i="1"/>
  <c r="O35" i="1"/>
  <c r="O32" i="1"/>
  <c r="O37" i="1"/>
  <c r="C16" i="1"/>
  <c r="D18" i="1" s="1"/>
  <c r="K35" i="1"/>
  <c r="O31" i="1"/>
  <c r="F16" i="1" l="1"/>
  <c r="F18" i="1" s="1"/>
  <c r="F17" i="1" l="1"/>
</calcChain>
</file>

<file path=xl/sharedStrings.xml><?xml version="1.0" encoding="utf-8"?>
<sst xmlns="http://schemas.openxmlformats.org/spreadsheetml/2006/main" count="187" uniqueCount="121">
  <si>
    <t>HX UMa / GSC 3019-0818</t>
  </si>
  <si>
    <t>System Type:</t>
  </si>
  <si>
    <t>EB</t>
  </si>
  <si>
    <t>GCVS 4 Eph.</t>
  </si>
  <si>
    <t>not avail</t>
  </si>
  <si>
    <t>My time zone &gt;&gt;&gt;&gt;&gt;</t>
  </si>
  <si>
    <t>(PST=8, PDT=MDT=7, MDT=CST=6, etc.)</t>
  </si>
  <si>
    <t>--- Working ----</t>
  </si>
  <si>
    <t>Epoch =</t>
  </si>
  <si>
    <t>Period =</t>
  </si>
  <si>
    <t>2015-12-20 checked byToMcat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</si>
  <si>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</si>
  <si>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</si>
  <si>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</si>
  <si>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</si>
  <si>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</si>
  <si>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</si>
  <si>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</si>
  <si>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</si>
  <si>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</si>
  <si>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</si>
  <si>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</si>
  <si>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</si>
  <si>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</si>
  <si>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</si>
  <si>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</si>
  <si>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</si>
  <si>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</si>
  <si>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</si>
  <si>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</si>
  <si>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</si>
  <si>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</si>
  <si>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</si>
  <si>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</si>
  <si>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</si>
  <si>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</si>
  <si>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</si>
  <si>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</si>
  <si>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</si>
  <si>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S6</t>
  </si>
  <si>
    <t>Lin Fit</t>
  </si>
  <si>
    <t>Q. Fit</t>
  </si>
  <si>
    <t>Date</t>
  </si>
  <si>
    <t>Hipparcos</t>
  </si>
  <si>
    <t>ROTSE</t>
  </si>
  <si>
    <t>I</t>
  </si>
  <si>
    <t>II</t>
  </si>
  <si>
    <t>IBVS 5623</t>
  </si>
  <si>
    <t>IBVS 5603</t>
  </si>
  <si>
    <t>IBVS 5592</t>
  </si>
  <si>
    <t>2013JAVSO..41..122</t>
  </si>
  <si>
    <t>IBVS 5835</t>
  </si>
  <si>
    <t>VSB 48 </t>
  </si>
  <si>
    <t>IBVS 6095</t>
  </si>
  <si>
    <t>OEJV 0160</t>
  </si>
  <si>
    <t>OEJV 0168</t>
  </si>
  <si>
    <t>OEJV 0179</t>
  </si>
  <si>
    <t>JAVSO..44..164</t>
  </si>
  <si>
    <t>JAVSO..47..105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</si>
  <si>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</si>
  <si>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</si>
  <si>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</si>
  <si>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</si>
  <si>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</si>
  <si>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</si>
  <si>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</si>
  <si>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</si>
  <si>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2453032.8037 </t>
  </si>
  <si>
    <t> 28.01.2004 07:17 </t>
  </si>
  <si>
    <t> -0.0004 </t>
  </si>
  <si>
    <t>E </t>
  </si>
  <si>
    <t>?</t>
  </si>
  <si>
    <t> S. Dvorak </t>
  </si>
  <si>
    <t>IBVS 5603 </t>
  </si>
  <si>
    <t>2453057.4504 </t>
  </si>
  <si>
    <t> 21.02.2004 22:48 </t>
  </si>
  <si>
    <t> 0.0010 </t>
  </si>
  <si>
    <t> T. Krajci </t>
  </si>
  <si>
    <t>IBVS 5592 </t>
  </si>
  <si>
    <t>2453839.6526 </t>
  </si>
  <si>
    <t> 14.04.2006 03:39 </t>
  </si>
  <si>
    <t> 0.0007 </t>
  </si>
  <si>
    <t>C </t>
  </si>
  <si>
    <t>V </t>
  </si>
  <si>
    <t> V.Petriew </t>
  </si>
  <si>
    <t> JAAVSO 41;122 </t>
  </si>
  <si>
    <t>2454211.425 </t>
  </si>
  <si>
    <t> 20.04.2007 22:12 </t>
  </si>
  <si>
    <t> 0.009 </t>
  </si>
  <si>
    <t> T.Borkovits et al. </t>
  </si>
  <si>
    <t>IBVS 5835 </t>
  </si>
  <si>
    <t>2456013.34917 </t>
  </si>
  <si>
    <t> 26.03.2012 20:22 </t>
  </si>
  <si>
    <t> -0.01440 </t>
  </si>
  <si>
    <t> J.Trnka </t>
  </si>
  <si>
    <t>OEJV 0160 </t>
  </si>
  <si>
    <t>2454565.1699 </t>
  </si>
  <si>
    <t> 08.04.2008 16:04 </t>
  </si>
  <si>
    <t> -0.0005 </t>
  </si>
  <si>
    <t>Ic</t>
  </si>
  <si>
    <t> K.Nakajima </t>
  </si>
  <si>
    <t>2454601.0010 </t>
  </si>
  <si>
    <t> 14.05.2008 12:01 </t>
  </si>
  <si>
    <t> 0.0002 </t>
  </si>
  <si>
    <t>2455975.4313 </t>
  </si>
  <si>
    <t> 17.02.2012 22:21 </t>
  </si>
  <si>
    <t> -0.0165 </t>
  </si>
  <si>
    <t>B;V</t>
  </si>
  <si>
    <t> A.Liakos et al. </t>
  </si>
  <si>
    <t>IBVS 6095 </t>
  </si>
  <si>
    <t>2455975.6226 </t>
  </si>
  <si>
    <t> 18.02.2012 02:56 </t>
  </si>
  <si>
    <t> -0.0148 </t>
  </si>
  <si>
    <t>JBAV, 63</t>
  </si>
  <si>
    <t>JAAVSO, 50, 255</t>
  </si>
  <si>
    <t>JAAVSO, 52, 243</t>
  </si>
  <si>
    <t>Next ToM-P</t>
  </si>
  <si>
    <t>Next ToM-S</t>
  </si>
  <si>
    <t>8.89-9.06</t>
  </si>
  <si>
    <t>Mag Hp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</si>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</sst>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0.0000"/>
    <numFmt numFmtId="166" formatCode="0.00000000"/>
    <numFmt numFmtId="167" formatCode="m/d/yyyy\ h:mm"/>
    <numFmt numFmtId="168" formatCode="d/mm/yyyy;@"/>
    <numFmt numFmtId="169" formatCode="0.00000"/>
  </numFmts>
  <fonts count="18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7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165" fontId="0" fillId="0" borderId="0" xfId="0" applyNumberFormat="1" applyAlignment="1"/>
    <xf numFmtId="166" fontId="0" fillId="0" borderId="0" xfId="0" applyNumberFormat="1" applyAlignment="1"/>
    <xf numFmtId="0" fontId="6" fillId="0" borderId="0" xfId="0" applyFont="1" applyAlignment="1"/>
    <xf numFmtId="0" fontId="7" fillId="0" borderId="0" xfId="0" applyFont="1">
      <alignment vertical="top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167" fontId="8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left"/>
    </xf>
    <xf numFmtId="0" fontId="2" fillId="0" borderId="0" xfId="0" applyFont="1">
      <alignment vertical="top"/>
    </xf>
    <xf numFmtId="0" fontId="2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7" applyFont="1"/>
    <xf numFmtId="0" fontId="2" fillId="0" borderId="0" xfId="7" applyFont="1" applyAlignment="1">
      <alignment horizontal="center"/>
    </xf>
    <xf numFmtId="0" fontId="2" fillId="0" borderId="0" xfId="7" applyFont="1" applyAlignment="1">
      <alignment horizontal="left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1" fillId="0" borderId="0" xfId="7" applyFont="1" applyAlignment="1">
      <alignment horizontal="left"/>
    </xf>
    <xf numFmtId="0" fontId="11" fillId="0" borderId="0" xfId="7" applyFont="1" applyAlignment="1">
      <alignment horizontal="center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9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center"/>
      <protection locked="0"/>
    </xf>
    <xf numFmtId="169" fontId="15" fillId="0" borderId="0" xfId="0" applyNumberFormat="1" applyFont="1" applyAlignment="1" applyProtection="1">
      <alignment horizontal="left"/>
      <protection locked="0"/>
    </xf>
    <xf numFmtId="0" fontId="0" fillId="0" borderId="0" xfId="0" applyFont="1" applyAlignment="1"/>
    <xf numFmtId="0" fontId="0" fillId="0" borderId="12" xfId="0" applyBorder="1">
      <alignment vertical="top"/>
    </xf>
    <xf numFmtId="0" fontId="16" fillId="0" borderId="15" xfId="0" applyFont="1" applyBorder="1" applyAlignment="1">
      <alignment horizontal="right" vertical="center"/>
    </xf>
    <xf numFmtId="0" fontId="16" fillId="0" borderId="17" xfId="0" applyFont="1" applyBorder="1" applyAlignment="1">
      <alignment horizontal="right" vertical="center"/>
    </xf>
    <xf numFmtId="0" fontId="0" fillId="3" borderId="13" xfId="0" applyFont="1" applyFill="1" applyBorder="1" applyAlignment="1">
      <alignment horizontal="right" vertical="center"/>
    </xf>
    <xf numFmtId="0" fontId="0" fillId="3" borderId="14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22" fontId="17" fillId="0" borderId="16" xfId="0" applyNumberFormat="1" applyFont="1" applyBorder="1" applyAlignment="1">
      <alignment horizontal="right" vertical="center"/>
    </xf>
    <xf numFmtId="22" fontId="17" fillId="0" borderId="18" xfId="0" applyNumberFormat="1" applyFont="1" applyBorder="1" applyAlignment="1">
      <alignment horizontal="right" vertical="center"/>
    </xf>
    <xf numFmtId="165" fontId="0" fillId="0" borderId="0" xfId="0" applyNumberFormat="1" applyFont="1" applyAlignment="1">
      <alignment horizontal="left"/>
    </xf>
    <xf numFmtId="168" fontId="0" fillId="0" borderId="0" xfId="0" applyNumberFormat="1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9" fontId="1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HX UMa - O-C Diagr.</a:t>
            </a:r>
          </a:p>
        </c:rich>
      </c:tx>
      <c:layout>
        <c:manualLayout>
          <c:xMode val="edge"/>
          <c:yMode val="edge"/>
          <c:x val="0.3634898384067096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78153740475492"/>
          <c:y val="0.11770833333333333"/>
          <c:w val="0.78729200853124381"/>
          <c:h val="0.6572916666666667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Active!$F$21:$F$420</c:f>
              <c:numCache>
                <c:formatCode>General</c:formatCode>
                <c:ptCount val="400"/>
                <c:pt idx="0">
                  <c:v>0</c:v>
                </c:pt>
                <c:pt idx="1">
                  <c:v>7912.5</c:v>
                </c:pt>
                <c:pt idx="2">
                  <c:v>16113.5</c:v>
                </c:pt>
                <c:pt idx="3">
                  <c:v>16161</c:v>
                </c:pt>
                <c:pt idx="4">
                  <c:v>17054</c:v>
                </c:pt>
                <c:pt idx="5">
                  <c:v>17059.5</c:v>
                </c:pt>
                <c:pt idx="6">
                  <c:v>17059.5</c:v>
                </c:pt>
                <c:pt idx="7">
                  <c:v>19866.5</c:v>
                </c:pt>
                <c:pt idx="8">
                  <c:v>19931.5</c:v>
                </c:pt>
                <c:pt idx="9">
                  <c:v>21994.5</c:v>
                </c:pt>
                <c:pt idx="10">
                  <c:v>22975</c:v>
                </c:pt>
                <c:pt idx="11">
                  <c:v>23908</c:v>
                </c:pt>
                <c:pt idx="12">
                  <c:v>24002.5</c:v>
                </c:pt>
                <c:pt idx="13">
                  <c:v>27627.5</c:v>
                </c:pt>
                <c:pt idx="14">
                  <c:v>27628</c:v>
                </c:pt>
                <c:pt idx="15">
                  <c:v>27727.5</c:v>
                </c:pt>
                <c:pt idx="16">
                  <c:v>29547.5</c:v>
                </c:pt>
                <c:pt idx="17">
                  <c:v>29547.5</c:v>
                </c:pt>
                <c:pt idx="18">
                  <c:v>29547.5</c:v>
                </c:pt>
                <c:pt idx="19">
                  <c:v>30448.5</c:v>
                </c:pt>
                <c:pt idx="20">
                  <c:v>30565.5</c:v>
                </c:pt>
                <c:pt idx="21">
                  <c:v>31590</c:v>
                </c:pt>
                <c:pt idx="22">
                  <c:v>32388.5</c:v>
                </c:pt>
                <c:pt idx="23">
                  <c:v>37399</c:v>
                </c:pt>
                <c:pt idx="24">
                  <c:v>37412.5</c:v>
                </c:pt>
                <c:pt idx="25">
                  <c:v>37549.5</c:v>
                </c:pt>
                <c:pt idx="26">
                  <c:v>39411.5</c:v>
                </c:pt>
              </c:numCache>
            </c:numRef>
          </c:xVal>
          <c:yVal>
            <c:numRef>
              <c:f>Active!$H$21:$H$420</c:f>
              <c:numCache>
                <c:formatCode>General</c:formatCode>
                <c:ptCount val="400"/>
                <c:pt idx="1">
                  <c:v>-1.1018910008715466E-3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38-41A1-85FC-E70BDD02EE0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Active!$F$21:$F$420</c:f>
              <c:numCache>
                <c:formatCode>General</c:formatCode>
                <c:ptCount val="400"/>
                <c:pt idx="0">
                  <c:v>0</c:v>
                </c:pt>
                <c:pt idx="1">
                  <c:v>7912.5</c:v>
                </c:pt>
                <c:pt idx="2">
                  <c:v>16113.5</c:v>
                </c:pt>
                <c:pt idx="3">
                  <c:v>16161</c:v>
                </c:pt>
                <c:pt idx="4">
                  <c:v>17054</c:v>
                </c:pt>
                <c:pt idx="5">
                  <c:v>17059.5</c:v>
                </c:pt>
                <c:pt idx="6">
                  <c:v>17059.5</c:v>
                </c:pt>
                <c:pt idx="7">
                  <c:v>19866.5</c:v>
                </c:pt>
                <c:pt idx="8">
                  <c:v>19931.5</c:v>
                </c:pt>
                <c:pt idx="9">
                  <c:v>21994.5</c:v>
                </c:pt>
                <c:pt idx="10">
                  <c:v>22975</c:v>
                </c:pt>
                <c:pt idx="11">
                  <c:v>23908</c:v>
                </c:pt>
                <c:pt idx="12">
                  <c:v>24002.5</c:v>
                </c:pt>
                <c:pt idx="13">
                  <c:v>27627.5</c:v>
                </c:pt>
                <c:pt idx="14">
                  <c:v>27628</c:v>
                </c:pt>
                <c:pt idx="15">
                  <c:v>27727.5</c:v>
                </c:pt>
                <c:pt idx="16">
                  <c:v>29547.5</c:v>
                </c:pt>
                <c:pt idx="17">
                  <c:v>29547.5</c:v>
                </c:pt>
                <c:pt idx="18">
                  <c:v>29547.5</c:v>
                </c:pt>
                <c:pt idx="19">
                  <c:v>30448.5</c:v>
                </c:pt>
                <c:pt idx="20">
                  <c:v>30565.5</c:v>
                </c:pt>
                <c:pt idx="21">
                  <c:v>31590</c:v>
                </c:pt>
                <c:pt idx="22">
                  <c:v>32388.5</c:v>
                </c:pt>
                <c:pt idx="23">
                  <c:v>37399</c:v>
                </c:pt>
                <c:pt idx="24">
                  <c:v>37412.5</c:v>
                </c:pt>
                <c:pt idx="25">
                  <c:v>37549.5</c:v>
                </c:pt>
                <c:pt idx="26">
                  <c:v>39411.5</c:v>
                </c:pt>
              </c:numCache>
            </c:numRef>
          </c:xVal>
          <c:yVal>
            <c:numRef>
              <c:f>Active!$I$21:$I$420</c:f>
              <c:numCache>
                <c:formatCode>General</c:formatCode>
                <c:ptCount val="400"/>
                <c:pt idx="2">
                  <c:v>-7.200600000214763E-2</c:v>
                </c:pt>
                <c:pt idx="3">
                  <c:v>-7.4716000010084826E-2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38-41A1-85FC-E70BDD02EE0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Active!$F$21:$F$420</c:f>
              <c:numCache>
                <c:formatCode>General</c:formatCode>
                <c:ptCount val="400"/>
                <c:pt idx="0">
                  <c:v>0</c:v>
                </c:pt>
                <c:pt idx="1">
                  <c:v>7912.5</c:v>
                </c:pt>
                <c:pt idx="2">
                  <c:v>16113.5</c:v>
                </c:pt>
                <c:pt idx="3">
                  <c:v>16161</c:v>
                </c:pt>
                <c:pt idx="4">
                  <c:v>17054</c:v>
                </c:pt>
                <c:pt idx="5">
                  <c:v>17059.5</c:v>
                </c:pt>
                <c:pt idx="6">
                  <c:v>17059.5</c:v>
                </c:pt>
                <c:pt idx="7">
                  <c:v>19866.5</c:v>
                </c:pt>
                <c:pt idx="8">
                  <c:v>19931.5</c:v>
                </c:pt>
                <c:pt idx="9">
                  <c:v>21994.5</c:v>
                </c:pt>
                <c:pt idx="10">
                  <c:v>22975</c:v>
                </c:pt>
                <c:pt idx="11">
                  <c:v>23908</c:v>
                </c:pt>
                <c:pt idx="12">
                  <c:v>24002.5</c:v>
                </c:pt>
                <c:pt idx="13">
                  <c:v>27627.5</c:v>
                </c:pt>
                <c:pt idx="14">
                  <c:v>27628</c:v>
                </c:pt>
                <c:pt idx="15">
                  <c:v>27727.5</c:v>
                </c:pt>
                <c:pt idx="16">
                  <c:v>29547.5</c:v>
                </c:pt>
                <c:pt idx="17">
                  <c:v>29547.5</c:v>
                </c:pt>
                <c:pt idx="18">
                  <c:v>29547.5</c:v>
                </c:pt>
                <c:pt idx="19">
                  <c:v>30448.5</c:v>
                </c:pt>
                <c:pt idx="20">
                  <c:v>30565.5</c:v>
                </c:pt>
                <c:pt idx="21">
                  <c:v>31590</c:v>
                </c:pt>
                <c:pt idx="22">
                  <c:v>32388.5</c:v>
                </c:pt>
                <c:pt idx="23">
                  <c:v>37399</c:v>
                </c:pt>
                <c:pt idx="24">
                  <c:v>37412.5</c:v>
                </c:pt>
                <c:pt idx="25">
                  <c:v>37549.5</c:v>
                </c:pt>
                <c:pt idx="26">
                  <c:v>39411.5</c:v>
                </c:pt>
              </c:numCache>
            </c:numRef>
          </c:xVal>
          <c:yVal>
            <c:numRef>
              <c:f>Active!$J$21:$J$420</c:f>
              <c:numCache>
                <c:formatCode>General</c:formatCode>
                <c:ptCount val="400"/>
                <c:pt idx="4">
                  <c:v>-7.4824000002990942E-2</c:v>
                </c:pt>
                <c:pt idx="5">
                  <c:v>-7.678200000373181E-2</c:v>
                </c:pt>
                <c:pt idx="6">
                  <c:v>-7.678200000373181E-2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38-41A1-85FC-E70BDD02EE0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Active!$F$21:$F$420</c:f>
              <c:numCache>
                <c:formatCode>General</c:formatCode>
                <c:ptCount val="400"/>
                <c:pt idx="0">
                  <c:v>0</c:v>
                </c:pt>
                <c:pt idx="1">
                  <c:v>7912.5</c:v>
                </c:pt>
                <c:pt idx="2">
                  <c:v>16113.5</c:v>
                </c:pt>
                <c:pt idx="3">
                  <c:v>16161</c:v>
                </c:pt>
                <c:pt idx="4">
                  <c:v>17054</c:v>
                </c:pt>
                <c:pt idx="5">
                  <c:v>17059.5</c:v>
                </c:pt>
                <c:pt idx="6">
                  <c:v>17059.5</c:v>
                </c:pt>
                <c:pt idx="7">
                  <c:v>19866.5</c:v>
                </c:pt>
                <c:pt idx="8">
                  <c:v>19931.5</c:v>
                </c:pt>
                <c:pt idx="9">
                  <c:v>21994.5</c:v>
                </c:pt>
                <c:pt idx="10">
                  <c:v>22975</c:v>
                </c:pt>
                <c:pt idx="11">
                  <c:v>23908</c:v>
                </c:pt>
                <c:pt idx="12">
                  <c:v>24002.5</c:v>
                </c:pt>
                <c:pt idx="13">
                  <c:v>27627.5</c:v>
                </c:pt>
                <c:pt idx="14">
                  <c:v>27628</c:v>
                </c:pt>
                <c:pt idx="15">
                  <c:v>27727.5</c:v>
                </c:pt>
                <c:pt idx="16">
                  <c:v>29547.5</c:v>
                </c:pt>
                <c:pt idx="17">
                  <c:v>29547.5</c:v>
                </c:pt>
                <c:pt idx="18">
                  <c:v>29547.5</c:v>
                </c:pt>
                <c:pt idx="19">
                  <c:v>30448.5</c:v>
                </c:pt>
                <c:pt idx="20">
                  <c:v>30565.5</c:v>
                </c:pt>
                <c:pt idx="21">
                  <c:v>31590</c:v>
                </c:pt>
                <c:pt idx="22">
                  <c:v>32388.5</c:v>
                </c:pt>
                <c:pt idx="23">
                  <c:v>37399</c:v>
                </c:pt>
                <c:pt idx="24">
                  <c:v>37412.5</c:v>
                </c:pt>
                <c:pt idx="25">
                  <c:v>37549.5</c:v>
                </c:pt>
                <c:pt idx="26">
                  <c:v>39411.5</c:v>
                </c:pt>
              </c:numCache>
            </c:numRef>
          </c:xVal>
          <c:yVal>
            <c:numRef>
              <c:f>Active!$K$21:$K$420</c:f>
              <c:numCache>
                <c:formatCode>General</c:formatCode>
                <c:ptCount val="400"/>
                <c:pt idx="0">
                  <c:v>0</c:v>
                </c:pt>
                <c:pt idx="7">
                  <c:v>-7.0974000009300653E-2</c:v>
                </c:pt>
                <c:pt idx="8">
                  <c:v>-6.9413999997777864E-2</c:v>
                </c:pt>
                <c:pt idx="9">
                  <c:v>-6.6042000005836599E-2</c:v>
                </c:pt>
                <c:pt idx="10">
                  <c:v>-5.6100000001606531E-2</c:v>
                </c:pt>
                <c:pt idx="11">
                  <c:v>-6.3748000000487082E-2</c:v>
                </c:pt>
                <c:pt idx="12">
                  <c:v>-6.2890000008337665E-2</c:v>
                </c:pt>
                <c:pt idx="13">
                  <c:v>-7.3090000005322509E-2</c:v>
                </c:pt>
                <c:pt idx="14">
                  <c:v>-7.1368000004440546E-2</c:v>
                </c:pt>
                <c:pt idx="15">
                  <c:v>-7.0820000000821892E-2</c:v>
                </c:pt>
                <c:pt idx="16">
                  <c:v>-7.4010000003909227E-2</c:v>
                </c:pt>
                <c:pt idx="17">
                  <c:v>-7.3909999999159481E-2</c:v>
                </c:pt>
                <c:pt idx="18">
                  <c:v>-7.3260000004665926E-2</c:v>
                </c:pt>
                <c:pt idx="19">
                  <c:v>-7.1666000003460795E-2</c:v>
                </c:pt>
                <c:pt idx="20">
                  <c:v>-7.0928000001003966E-2</c:v>
                </c:pt>
                <c:pt idx="21">
                  <c:v>-7.2340000006079208E-2</c:v>
                </c:pt>
                <c:pt idx="22">
                  <c:v>-7.3615999819594435E-2</c:v>
                </c:pt>
                <c:pt idx="23">
                  <c:v>-7.3244000006525312E-2</c:v>
                </c:pt>
                <c:pt idx="24">
                  <c:v>-8.0850000005739275E-2</c:v>
                </c:pt>
                <c:pt idx="25">
                  <c:v>-7.4421999997866806E-2</c:v>
                </c:pt>
                <c:pt idx="26">
                  <c:v>-7.9294000002846587E-2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38-41A1-85FC-E70BDD02EE0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Active!$F$21:$F$420</c:f>
              <c:numCache>
                <c:formatCode>General</c:formatCode>
                <c:ptCount val="400"/>
                <c:pt idx="0">
                  <c:v>0</c:v>
                </c:pt>
                <c:pt idx="1">
                  <c:v>7912.5</c:v>
                </c:pt>
                <c:pt idx="2">
                  <c:v>16113.5</c:v>
                </c:pt>
                <c:pt idx="3">
                  <c:v>16161</c:v>
                </c:pt>
                <c:pt idx="4">
                  <c:v>17054</c:v>
                </c:pt>
                <c:pt idx="5">
                  <c:v>17059.5</c:v>
                </c:pt>
                <c:pt idx="6">
                  <c:v>17059.5</c:v>
                </c:pt>
                <c:pt idx="7">
                  <c:v>19866.5</c:v>
                </c:pt>
                <c:pt idx="8">
                  <c:v>19931.5</c:v>
                </c:pt>
                <c:pt idx="9">
                  <c:v>21994.5</c:v>
                </c:pt>
                <c:pt idx="10">
                  <c:v>22975</c:v>
                </c:pt>
                <c:pt idx="11">
                  <c:v>23908</c:v>
                </c:pt>
                <c:pt idx="12">
                  <c:v>24002.5</c:v>
                </c:pt>
                <c:pt idx="13">
                  <c:v>27627.5</c:v>
                </c:pt>
                <c:pt idx="14">
                  <c:v>27628</c:v>
                </c:pt>
                <c:pt idx="15">
                  <c:v>27727.5</c:v>
                </c:pt>
                <c:pt idx="16">
                  <c:v>29547.5</c:v>
                </c:pt>
                <c:pt idx="17">
                  <c:v>29547.5</c:v>
                </c:pt>
                <c:pt idx="18">
                  <c:v>29547.5</c:v>
                </c:pt>
                <c:pt idx="19">
                  <c:v>30448.5</c:v>
                </c:pt>
                <c:pt idx="20">
                  <c:v>30565.5</c:v>
                </c:pt>
                <c:pt idx="21">
                  <c:v>31590</c:v>
                </c:pt>
                <c:pt idx="22">
                  <c:v>32388.5</c:v>
                </c:pt>
                <c:pt idx="23">
                  <c:v>37399</c:v>
                </c:pt>
                <c:pt idx="24">
                  <c:v>37412.5</c:v>
                </c:pt>
                <c:pt idx="25">
                  <c:v>37549.5</c:v>
                </c:pt>
                <c:pt idx="26">
                  <c:v>39411.5</c:v>
                </c:pt>
              </c:numCache>
            </c:numRef>
          </c:xVal>
          <c:yVal>
            <c:numRef>
              <c:f>Active!$L$21:$L$420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38-41A1-85FC-E70BDD02EE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Active!$F$21:$F$420</c:f>
              <c:numCache>
                <c:formatCode>General</c:formatCode>
                <c:ptCount val="400"/>
                <c:pt idx="0">
                  <c:v>0</c:v>
                </c:pt>
                <c:pt idx="1">
                  <c:v>7912.5</c:v>
                </c:pt>
                <c:pt idx="2">
                  <c:v>16113.5</c:v>
                </c:pt>
                <c:pt idx="3">
                  <c:v>16161</c:v>
                </c:pt>
                <c:pt idx="4">
                  <c:v>17054</c:v>
                </c:pt>
                <c:pt idx="5">
                  <c:v>17059.5</c:v>
                </c:pt>
                <c:pt idx="6">
                  <c:v>17059.5</c:v>
                </c:pt>
                <c:pt idx="7">
                  <c:v>19866.5</c:v>
                </c:pt>
                <c:pt idx="8">
                  <c:v>19931.5</c:v>
                </c:pt>
                <c:pt idx="9">
                  <c:v>21994.5</c:v>
                </c:pt>
                <c:pt idx="10">
                  <c:v>22975</c:v>
                </c:pt>
                <c:pt idx="11">
                  <c:v>23908</c:v>
                </c:pt>
                <c:pt idx="12">
                  <c:v>24002.5</c:v>
                </c:pt>
                <c:pt idx="13">
                  <c:v>27627.5</c:v>
                </c:pt>
                <c:pt idx="14">
                  <c:v>27628</c:v>
                </c:pt>
                <c:pt idx="15">
                  <c:v>27727.5</c:v>
                </c:pt>
                <c:pt idx="16">
                  <c:v>29547.5</c:v>
                </c:pt>
                <c:pt idx="17">
                  <c:v>29547.5</c:v>
                </c:pt>
                <c:pt idx="18">
                  <c:v>29547.5</c:v>
                </c:pt>
                <c:pt idx="19">
                  <c:v>30448.5</c:v>
                </c:pt>
                <c:pt idx="20">
                  <c:v>30565.5</c:v>
                </c:pt>
                <c:pt idx="21">
                  <c:v>31590</c:v>
                </c:pt>
                <c:pt idx="22">
                  <c:v>32388.5</c:v>
                </c:pt>
                <c:pt idx="23">
                  <c:v>37399</c:v>
                </c:pt>
                <c:pt idx="24">
                  <c:v>37412.5</c:v>
                </c:pt>
                <c:pt idx="25">
                  <c:v>37549.5</c:v>
                </c:pt>
                <c:pt idx="26">
                  <c:v>39411.5</c:v>
                </c:pt>
              </c:numCache>
            </c:numRef>
          </c:xVal>
          <c:yVal>
            <c:numRef>
              <c:f>Active!$M$21:$M$420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38-41A1-85FC-E70BDD02EE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Active!$F$21:$F$420</c:f>
              <c:numCache>
                <c:formatCode>General</c:formatCode>
                <c:ptCount val="400"/>
                <c:pt idx="0">
                  <c:v>0</c:v>
                </c:pt>
                <c:pt idx="1">
                  <c:v>7912.5</c:v>
                </c:pt>
                <c:pt idx="2">
                  <c:v>16113.5</c:v>
                </c:pt>
                <c:pt idx="3">
                  <c:v>16161</c:v>
                </c:pt>
                <c:pt idx="4">
                  <c:v>17054</c:v>
                </c:pt>
                <c:pt idx="5">
                  <c:v>17059.5</c:v>
                </c:pt>
                <c:pt idx="6">
                  <c:v>17059.5</c:v>
                </c:pt>
                <c:pt idx="7">
                  <c:v>19866.5</c:v>
                </c:pt>
                <c:pt idx="8">
                  <c:v>19931.5</c:v>
                </c:pt>
                <c:pt idx="9">
                  <c:v>21994.5</c:v>
                </c:pt>
                <c:pt idx="10">
                  <c:v>22975</c:v>
                </c:pt>
                <c:pt idx="11">
                  <c:v>23908</c:v>
                </c:pt>
                <c:pt idx="12">
                  <c:v>24002.5</c:v>
                </c:pt>
                <c:pt idx="13">
                  <c:v>27627.5</c:v>
                </c:pt>
                <c:pt idx="14">
                  <c:v>27628</c:v>
                </c:pt>
                <c:pt idx="15">
                  <c:v>27727.5</c:v>
                </c:pt>
                <c:pt idx="16">
                  <c:v>29547.5</c:v>
                </c:pt>
                <c:pt idx="17">
                  <c:v>29547.5</c:v>
                </c:pt>
                <c:pt idx="18">
                  <c:v>29547.5</c:v>
                </c:pt>
                <c:pt idx="19">
                  <c:v>30448.5</c:v>
                </c:pt>
                <c:pt idx="20">
                  <c:v>30565.5</c:v>
                </c:pt>
                <c:pt idx="21">
                  <c:v>31590</c:v>
                </c:pt>
                <c:pt idx="22">
                  <c:v>32388.5</c:v>
                </c:pt>
                <c:pt idx="23">
                  <c:v>37399</c:v>
                </c:pt>
                <c:pt idx="24">
                  <c:v>37412.5</c:v>
                </c:pt>
                <c:pt idx="25">
                  <c:v>37549.5</c:v>
                </c:pt>
                <c:pt idx="26">
                  <c:v>39411.5</c:v>
                </c:pt>
              </c:numCache>
            </c:numRef>
          </c:xVal>
          <c:yVal>
            <c:numRef>
              <c:f>Active!$N$21:$N$420</c:f>
              <c:numCache>
                <c:formatCode>General</c:formatCode>
                <c:ptCount val="4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38-41A1-85FC-E70BDD02EE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Active!$F$21:$F$420</c:f>
              <c:numCache>
                <c:formatCode>General</c:formatCode>
                <c:ptCount val="400"/>
                <c:pt idx="0">
                  <c:v>0</c:v>
                </c:pt>
                <c:pt idx="1">
                  <c:v>7912.5</c:v>
                </c:pt>
                <c:pt idx="2">
                  <c:v>16113.5</c:v>
                </c:pt>
                <c:pt idx="3">
                  <c:v>16161</c:v>
                </c:pt>
                <c:pt idx="4">
                  <c:v>17054</c:v>
                </c:pt>
                <c:pt idx="5">
                  <c:v>17059.5</c:v>
                </c:pt>
                <c:pt idx="6">
                  <c:v>17059.5</c:v>
                </c:pt>
                <c:pt idx="7">
                  <c:v>19866.5</c:v>
                </c:pt>
                <c:pt idx="8">
                  <c:v>19931.5</c:v>
                </c:pt>
                <c:pt idx="9">
                  <c:v>21994.5</c:v>
                </c:pt>
                <c:pt idx="10">
                  <c:v>22975</c:v>
                </c:pt>
                <c:pt idx="11">
                  <c:v>23908</c:v>
                </c:pt>
                <c:pt idx="12">
                  <c:v>24002.5</c:v>
                </c:pt>
                <c:pt idx="13">
                  <c:v>27627.5</c:v>
                </c:pt>
                <c:pt idx="14">
                  <c:v>27628</c:v>
                </c:pt>
                <c:pt idx="15">
                  <c:v>27727.5</c:v>
                </c:pt>
                <c:pt idx="16">
                  <c:v>29547.5</c:v>
                </c:pt>
                <c:pt idx="17">
                  <c:v>29547.5</c:v>
                </c:pt>
                <c:pt idx="18">
                  <c:v>29547.5</c:v>
                </c:pt>
                <c:pt idx="19">
                  <c:v>30448.5</c:v>
                </c:pt>
                <c:pt idx="20">
                  <c:v>30565.5</c:v>
                </c:pt>
                <c:pt idx="21">
                  <c:v>31590</c:v>
                </c:pt>
                <c:pt idx="22">
                  <c:v>32388.5</c:v>
                </c:pt>
                <c:pt idx="23">
                  <c:v>37399</c:v>
                </c:pt>
                <c:pt idx="24">
                  <c:v>37412.5</c:v>
                </c:pt>
                <c:pt idx="25">
                  <c:v>37549.5</c:v>
                </c:pt>
                <c:pt idx="26">
                  <c:v>39411.5</c:v>
                </c:pt>
              </c:numCache>
            </c:numRef>
          </c:xVal>
          <c:yVal>
            <c:numRef>
              <c:f>Active!$O$21:$O$420</c:f>
              <c:numCache>
                <c:formatCode>General</c:formatCode>
                <c:ptCount val="400"/>
                <c:pt idx="0">
                  <c:v>-4.8393022920223003E-2</c:v>
                </c:pt>
                <c:pt idx="1">
                  <c:v>-5.4533729663254357E-2</c:v>
                </c:pt>
                <c:pt idx="2">
                  <c:v>-6.0898334528922626E-2</c:v>
                </c:pt>
                <c:pt idx="3">
                  <c:v>-6.0935198171297854E-2</c:v>
                </c:pt>
                <c:pt idx="4">
                  <c:v>-6.1628234647952133E-2</c:v>
                </c:pt>
                <c:pt idx="5">
                  <c:v>-6.1632503069700847E-2</c:v>
                </c:pt>
                <c:pt idx="6">
                  <c:v>-6.1632503069700847E-2</c:v>
                </c:pt>
                <c:pt idx="7">
                  <c:v>-6.3810950314906412E-2</c:v>
                </c:pt>
                <c:pt idx="8">
                  <c:v>-6.3861395299209353E-2</c:v>
                </c:pt>
                <c:pt idx="9">
                  <c:v>-6.5462441493316606E-2</c:v>
                </c:pt>
                <c:pt idx="10">
                  <c:v>-6.6223384679609476E-2</c:v>
                </c:pt>
                <c:pt idx="11">
                  <c:v>-6.6947464223527098E-2</c:v>
                </c:pt>
                <c:pt idx="12">
                  <c:v>-6.702080346993676E-2</c:v>
                </c:pt>
                <c:pt idx="13">
                  <c:v>-6.983408144067782E-2</c:v>
                </c:pt>
                <c:pt idx="14">
                  <c:v>-6.9834469479018613E-2</c:v>
                </c:pt>
                <c:pt idx="15">
                  <c:v>-6.9911689108836203E-2</c:v>
                </c:pt>
                <c:pt idx="16">
                  <c:v>-7.1324148669318604E-2</c:v>
                </c:pt>
                <c:pt idx="17">
                  <c:v>-7.1324148669318604E-2</c:v>
                </c:pt>
                <c:pt idx="18">
                  <c:v>-7.1324148669318604E-2</c:v>
                </c:pt>
                <c:pt idx="19">
                  <c:v>-7.2023393759425569E-2</c:v>
                </c:pt>
                <c:pt idx="20">
                  <c:v>-7.2114194731170866E-2</c:v>
                </c:pt>
                <c:pt idx="21">
                  <c:v>-7.2909285291453407E-2</c:v>
                </c:pt>
                <c:pt idx="22">
                  <c:v>-7.3528982521698025E-2</c:v>
                </c:pt>
                <c:pt idx="23">
                  <c:v>-7.741751473477336E-2</c:v>
                </c:pt>
                <c:pt idx="24">
                  <c:v>-7.7427991769974738E-2</c:v>
                </c:pt>
                <c:pt idx="25">
                  <c:v>-7.7534314275351707E-2</c:v>
                </c:pt>
                <c:pt idx="26">
                  <c:v>-7.8979369056460635E-2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38-41A1-85FC-E70BDD02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897576"/>
        <c:axId val="1"/>
      </c:scatterChart>
      <c:valAx>
        <c:axId val="934897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8975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47674472839521"/>
          <c:y val="0.91249999999999998"/>
          <c:w val="0.6607436429089337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200025</xdr:colOff>
      <xdr:row>18</xdr:row>
      <xdr:rowOff>76200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7669223-F531-2ED7-77C7-C5AB00438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095" TargetMode="External"/><Relationship Id="rId3" Type="http://schemas.openxmlformats.org/officeDocument/2006/relationships/hyperlink" Target="http://www.konkoly.hu/cgi-bin/IBVS?5835" TargetMode="External"/><Relationship Id="rId7" Type="http://schemas.openxmlformats.org/officeDocument/2006/relationships/hyperlink" Target="http://www.konkoly.hu/cgi-bin/IBVS?6095" TargetMode="External"/><Relationship Id="rId2" Type="http://schemas.openxmlformats.org/officeDocument/2006/relationships/hyperlink" Target="http://www.konkoly.hu/cgi-bin/IBVS?5592" TargetMode="External"/><Relationship Id="rId1" Type="http://schemas.openxmlformats.org/officeDocument/2006/relationships/hyperlink" Target="http://www.konkoly.hu/cgi-bin/IBVS?5603" TargetMode="External"/><Relationship Id="rId6" Type="http://schemas.openxmlformats.org/officeDocument/2006/relationships/hyperlink" Target="http://vsolj.cetus-net.org/no48.pdf" TargetMode="External"/><Relationship Id="rId5" Type="http://schemas.openxmlformats.org/officeDocument/2006/relationships/hyperlink" Target="http://vsolj.cetus-net.org/no48.pdf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workbookViewId="0">
      <pane xSplit="13" ySplit="22" topLeftCell="N35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21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 t="s">
        <v>4</v>
      </c>
      <c r="D4" s="6" t="s">
        <v>4</v>
      </c>
    </row>
    <row r="5" spans="1:6" x14ac:dyDescent="0.2">
      <c r="A5" s="7" t="s">
        <v>5</v>
      </c>
      <c r="B5"/>
      <c r="C5" s="8">
        <v>-9.5</v>
      </c>
      <c r="D5" t="s">
        <v>6</v>
      </c>
    </row>
    <row r="6" spans="1:6" x14ac:dyDescent="0.2">
      <c r="A6" s="4" t="s">
        <v>7</v>
      </c>
    </row>
    <row r="7" spans="1:6" x14ac:dyDescent="0.2">
      <c r="A7" s="1" t="s">
        <v>8</v>
      </c>
      <c r="C7" s="9">
        <v>45500.372000000003</v>
      </c>
      <c r="D7" s="1" t="s">
        <v>120</v>
      </c>
      <c r="E7" s="1">
        <v>53057.450400000002</v>
      </c>
    </row>
    <row r="8" spans="1:6" x14ac:dyDescent="0.2">
      <c r="A8" s="1" t="s">
        <v>9</v>
      </c>
      <c r="C8" s="10">
        <v>0.37915599999999999</v>
      </c>
      <c r="D8" s="11" t="s">
        <v>120</v>
      </c>
      <c r="E8" s="1">
        <v>0.37915611100000002</v>
      </c>
      <c r="F8" s="1" t="s">
        <v>10</v>
      </c>
    </row>
    <row r="9" spans="1:6" x14ac:dyDescent="0.2">
      <c r="A9" s="12" t="s">
        <v>11</v>
      </c>
      <c r="B9" s="13">
        <v>32</v>
      </c>
      <c r="C9" s="14" t="str">
        <f>"F"&amp;B9</f>
        <v>F32</v>
      </c>
      <c r="D9" s="15" t="str">
        <f>"G"&amp;B9</f>
        <v>G32</v>
      </c>
    </row>
    <row r="10" spans="1:6" x14ac:dyDescent="0.2">
      <c r="A10"/>
      <c r="B10"/>
      <c r="C10" s="16" t="s">
        <v>12</v>
      </c>
      <c r="D10" s="16" t="s">
        <v>13</v>
      </c>
      <c r="E10"/>
    </row>
    <row r="11" spans="1:6" x14ac:dyDescent="0.2">
      <c r="A11" t="s">
        <v>14</v>
      </c>
      <c r="B11"/>
      <c r="C11" s="17">
        <f ca="1">INTERCEPT(INDIRECT($D$9):G992,INDIRECT($C$9):F992)</f>
        <v>-4.8393022920223003E-2</v>
      </c>
      <c r="D11" s="18"/>
      <c r="E11"/>
    </row>
    <row r="12" spans="1:6" x14ac:dyDescent="0.2">
      <c r="A12" t="s">
        <v>15</v>
      </c>
      <c r="B12"/>
      <c r="C12" s="17">
        <f ca="1">SLOPE(INDIRECT($D$9):G992,INDIRECT($C$9):F992)</f>
        <v>-7.7607668158374173E-7</v>
      </c>
      <c r="D12" s="18"/>
      <c r="E12" s="67" t="s">
        <v>119</v>
      </c>
      <c r="F12" s="68" t="s">
        <v>118</v>
      </c>
    </row>
    <row r="13" spans="1:6" x14ac:dyDescent="0.2">
      <c r="A13" t="s">
        <v>16</v>
      </c>
      <c r="B13"/>
      <c r="C13" s="18" t="s">
        <v>17</v>
      </c>
      <c r="E13" s="65" t="s">
        <v>19</v>
      </c>
      <c r="F13" s="69">
        <v>1</v>
      </c>
    </row>
    <row r="14" spans="1:6" x14ac:dyDescent="0.2">
      <c r="A14"/>
      <c r="B14"/>
      <c r="C14"/>
      <c r="E14" s="65" t="s">
        <v>21</v>
      </c>
      <c r="F14" s="70">
        <f ca="1">NOW()+15018.5+$C$5/24</f>
        <v>60685.715070833328</v>
      </c>
    </row>
    <row r="15" spans="1:6" x14ac:dyDescent="0.2">
      <c r="A15" s="19" t="s">
        <v>18</v>
      </c>
      <c r="B15"/>
      <c r="C15" s="20">
        <f ca="1">(C7+C11)+(C8+C12)*INT(MAX(F21:F3533))</f>
        <v>60443.210137018978</v>
      </c>
      <c r="E15" s="65" t="s">
        <v>23</v>
      </c>
      <c r="F15" s="70">
        <f ca="1">ROUND(2*($F$14-$C$7)/$C$8,0)/2+$F$13</f>
        <v>40051.5</v>
      </c>
    </row>
    <row r="16" spans="1:6" x14ac:dyDescent="0.2">
      <c r="A16" s="19" t="s">
        <v>20</v>
      </c>
      <c r="B16"/>
      <c r="C16" s="20">
        <f ca="1">+C8+C12</f>
        <v>0.37915522392331841</v>
      </c>
      <c r="E16" s="65" t="s">
        <v>25</v>
      </c>
      <c r="F16" s="70">
        <f ca="1">ROUND(2*($F$14-$C$15)/$C$16,0)/2+$F$13</f>
        <v>640.5</v>
      </c>
    </row>
    <row r="17" spans="1:17" x14ac:dyDescent="0.2">
      <c r="A17" s="12" t="s">
        <v>22</v>
      </c>
      <c r="B17"/>
      <c r="C17">
        <f>COUNT(C21:C2191)</f>
        <v>27</v>
      </c>
      <c r="E17" s="65" t="s">
        <v>116</v>
      </c>
      <c r="F17" s="71">
        <f ca="1">+$C$15+$C$16*$F$16-15018.5-$C$5/24</f>
        <v>45667.9548912752</v>
      </c>
    </row>
    <row r="18" spans="1:17" x14ac:dyDescent="0.2">
      <c r="A18" s="19" t="s">
        <v>24</v>
      </c>
      <c r="B18"/>
      <c r="C18" s="21">
        <f ca="1">+C15</f>
        <v>60443.210137018978</v>
      </c>
      <c r="D18" s="64">
        <f ca="1">+C16</f>
        <v>0.37915522392331841</v>
      </c>
      <c r="E18" s="66" t="s">
        <v>117</v>
      </c>
      <c r="F18" s="72">
        <f ca="1">+($C$15+$C$16*$F$16)-($C$16/2)-15018.5-$C$5/24</f>
        <v>45667.765313663236</v>
      </c>
    </row>
    <row r="19" spans="1:17" x14ac:dyDescent="0.2">
      <c r="E19" s="12"/>
      <c r="F19" s="22"/>
    </row>
    <row r="20" spans="1:17" x14ac:dyDescent="0.2">
      <c r="A20" s="16" t="s">
        <v>26</v>
      </c>
      <c r="B20" s="16" t="s">
        <v>27</v>
      </c>
      <c r="C20" s="16" t="s">
        <v>28</v>
      </c>
      <c r="D20" s="16" t="s">
        <v>29</v>
      </c>
      <c r="E20" s="16" t="s">
        <v>30</v>
      </c>
      <c r="F20" s="16" t="s">
        <v>31</v>
      </c>
      <c r="G20" s="16" t="s">
        <v>32</v>
      </c>
      <c r="H20" s="23" t="s">
        <v>33</v>
      </c>
      <c r="I20" s="23" t="s">
        <v>34</v>
      </c>
      <c r="J20" s="23" t="s">
        <v>35</v>
      </c>
      <c r="K20" s="23" t="s">
        <v>36</v>
      </c>
      <c r="L20" s="23" t="s">
        <v>37</v>
      </c>
      <c r="M20" s="23" t="s">
        <v>38</v>
      </c>
      <c r="N20" s="23" t="s">
        <v>39</v>
      </c>
      <c r="O20" s="23" t="s">
        <v>40</v>
      </c>
      <c r="P20" s="23" t="s">
        <v>41</v>
      </c>
      <c r="Q20" s="16" t="s">
        <v>42</v>
      </c>
    </row>
    <row r="21" spans="1:17" s="63" customFormat="1" ht="12" customHeight="1" x14ac:dyDescent="0.2">
      <c r="A21" s="78" t="s">
        <v>120</v>
      </c>
      <c r="C21" s="76">
        <v>45500.372000000003</v>
      </c>
      <c r="D21" s="76"/>
      <c r="E21" s="63">
        <f>+(C21-C$7)/C$8</f>
        <v>0</v>
      </c>
      <c r="F21" s="63">
        <f>ROUND(2*E21,0)/2</f>
        <v>0</v>
      </c>
      <c r="G21" s="63">
        <f>+C21-(C$7+F21*C$8)</f>
        <v>0</v>
      </c>
      <c r="K21" s="63">
        <f>+G21</f>
        <v>0</v>
      </c>
      <c r="O21" s="63">
        <f ca="1">+C$11+C$12*F21</f>
        <v>-4.8393022920223003E-2</v>
      </c>
      <c r="Q21" s="74">
        <f>+C21-15018.5</f>
        <v>30481.872000000003</v>
      </c>
    </row>
    <row r="22" spans="1:17" s="63" customFormat="1" ht="12" customHeight="1" x14ac:dyDescent="0.2">
      <c r="A22" s="63" t="s">
        <v>43</v>
      </c>
      <c r="C22" s="73">
        <v>48500.372000000003</v>
      </c>
      <c r="D22" s="73" t="s">
        <v>17</v>
      </c>
      <c r="E22" s="63">
        <f>+(C22-C$7)/C$8</f>
        <v>7912.3105001635213</v>
      </c>
      <c r="F22" s="63">
        <f>ROUND(2*E22,0)/2</f>
        <v>7912.5</v>
      </c>
      <c r="H22" s="15">
        <v>-1.1018910008715466E-3</v>
      </c>
      <c r="O22" s="63">
        <f ca="1">+C$11+C$12*F22</f>
        <v>-5.4533729663254357E-2</v>
      </c>
      <c r="Q22" s="74">
        <f>+C22-15018.5</f>
        <v>33481.872000000003</v>
      </c>
    </row>
    <row r="23" spans="1:17" s="63" customFormat="1" ht="12" customHeight="1" x14ac:dyDescent="0.2">
      <c r="A23" s="63" t="s">
        <v>44</v>
      </c>
      <c r="B23" s="75" t="s">
        <v>45</v>
      </c>
      <c r="C23" s="73">
        <v>51609.830199999997</v>
      </c>
      <c r="D23" s="73">
        <v>6.0000000000000001E-3</v>
      </c>
      <c r="E23" s="63">
        <f>+(C23-C$7)/C$8</f>
        <v>16113.31008872336</v>
      </c>
      <c r="F23" s="63">
        <f>ROUND(2*E23,0)/2</f>
        <v>16113.5</v>
      </c>
      <c r="G23" s="63">
        <f>+C23-(C$7+F23*C$8)</f>
        <v>-7.200600000214763E-2</v>
      </c>
      <c r="I23" s="63">
        <f>+G23</f>
        <v>-7.200600000214763E-2</v>
      </c>
      <c r="O23" s="63">
        <f ca="1">+C$11+C$12*F23</f>
        <v>-6.0898334528922626E-2</v>
      </c>
      <c r="Q23" s="74">
        <f>+C23-15018.5</f>
        <v>36591.330199999997</v>
      </c>
    </row>
    <row r="24" spans="1:17" s="63" customFormat="1" ht="12" customHeight="1" x14ac:dyDescent="0.2">
      <c r="A24" s="63" t="s">
        <v>44</v>
      </c>
      <c r="B24" s="75" t="s">
        <v>46</v>
      </c>
      <c r="C24" s="73">
        <v>51627.837399999997</v>
      </c>
      <c r="D24" s="73">
        <v>6.0000000000000001E-3</v>
      </c>
      <c r="E24" s="63">
        <f>+(C24-C$7)/C$8</f>
        <v>16160.80294126954</v>
      </c>
      <c r="F24" s="63">
        <f>ROUND(2*E24,0)/2</f>
        <v>16161</v>
      </c>
      <c r="G24" s="63">
        <f>+C24-(C$7+F24*C$8)</f>
        <v>-7.4716000010084826E-2</v>
      </c>
      <c r="I24" s="63">
        <f>+G24</f>
        <v>-7.4716000010084826E-2</v>
      </c>
      <c r="O24" s="63">
        <f ca="1">+C$11+C$12*F24</f>
        <v>-6.0935198171297854E-2</v>
      </c>
      <c r="Q24" s="74">
        <f>+C24-15018.5</f>
        <v>36609.337399999997</v>
      </c>
    </row>
    <row r="25" spans="1:17" s="63" customFormat="1" x14ac:dyDescent="0.2">
      <c r="A25" s="76" t="s">
        <v>47</v>
      </c>
      <c r="B25" s="75" t="s">
        <v>46</v>
      </c>
      <c r="C25" s="76">
        <v>51966.423600000002</v>
      </c>
      <c r="D25" s="76">
        <v>4.0000000000000002E-4</v>
      </c>
      <c r="E25" s="63">
        <f>+(C25-C$7)/C$8</f>
        <v>17053.802656426375</v>
      </c>
      <c r="F25" s="63">
        <f>ROUND(2*E25,0)/2</f>
        <v>17054</v>
      </c>
      <c r="G25" s="63">
        <f>+C25-(C$7+F25*C$8)</f>
        <v>-7.4824000002990942E-2</v>
      </c>
      <c r="J25" s="63">
        <f>+G25</f>
        <v>-7.4824000002990942E-2</v>
      </c>
      <c r="O25" s="63">
        <f ca="1">+C$11+C$12*F25</f>
        <v>-6.1628234647952133E-2</v>
      </c>
      <c r="Q25" s="74">
        <f>+C25-15018.5</f>
        <v>36947.923600000002</v>
      </c>
    </row>
    <row r="26" spans="1:17" s="63" customFormat="1" x14ac:dyDescent="0.2">
      <c r="A26" s="76" t="s">
        <v>47</v>
      </c>
      <c r="B26" s="75" t="s">
        <v>45</v>
      </c>
      <c r="C26" s="76">
        <v>51968.506999999998</v>
      </c>
      <c r="D26" s="76">
        <v>2.9999999999999997E-4</v>
      </c>
      <c r="E26" s="63">
        <f>+(C26-C$7)/C$8</f>
        <v>17059.297492325044</v>
      </c>
      <c r="F26" s="63">
        <f>ROUND(2*E26,0)/2</f>
        <v>17059.5</v>
      </c>
      <c r="G26" s="63">
        <f>+C26-(C$7+F26*C$8)</f>
        <v>-7.678200000373181E-2</v>
      </c>
      <c r="J26" s="63">
        <f>+G26</f>
        <v>-7.678200000373181E-2</v>
      </c>
      <c r="O26" s="63">
        <f ca="1">+C$11+C$12*F26</f>
        <v>-6.1632503069700847E-2</v>
      </c>
      <c r="Q26" s="74">
        <f>+C26-15018.5</f>
        <v>36950.006999999998</v>
      </c>
    </row>
    <row r="27" spans="1:17" s="63" customFormat="1" x14ac:dyDescent="0.2">
      <c r="A27" s="25" t="s">
        <v>47</v>
      </c>
      <c r="B27" s="26" t="s">
        <v>45</v>
      </c>
      <c r="C27" s="25">
        <v>51968.506999999998</v>
      </c>
      <c r="D27" s="25">
        <v>2.9999999999999997E-4</v>
      </c>
      <c r="E27" s="63">
        <f>+(C27-C$7)/C$8</f>
        <v>17059.297492325044</v>
      </c>
      <c r="F27" s="63">
        <f>ROUND(2*E27,0)/2</f>
        <v>17059.5</v>
      </c>
      <c r="G27" s="63">
        <f>+C27-(C$7+F27*C$8)</f>
        <v>-7.678200000373181E-2</v>
      </c>
      <c r="J27" s="63">
        <f>+G27</f>
        <v>-7.678200000373181E-2</v>
      </c>
      <c r="O27" s="63">
        <f ca="1">+C$11+C$12*F27</f>
        <v>-6.1632503069700847E-2</v>
      </c>
      <c r="Q27" s="74">
        <f>+C27-15018.5</f>
        <v>36950.006999999998</v>
      </c>
    </row>
    <row r="28" spans="1:17" s="63" customFormat="1" x14ac:dyDescent="0.2">
      <c r="A28" s="27" t="s">
        <v>48</v>
      </c>
      <c r="B28" s="28" t="s">
        <v>45</v>
      </c>
      <c r="C28" s="25">
        <v>53032.803699999997</v>
      </c>
      <c r="D28" s="25">
        <v>4.0000000000000002E-4</v>
      </c>
      <c r="E28" s="63">
        <f>+(C28-C$7)/C$8</f>
        <v>19866.312810558171</v>
      </c>
      <c r="F28" s="63">
        <f>ROUND(2*E28,0)/2</f>
        <v>19866.5</v>
      </c>
      <c r="G28" s="63">
        <f>+C28-(C$7+F28*C$8)</f>
        <v>-7.0974000009300653E-2</v>
      </c>
      <c r="K28" s="63">
        <f>+G28</f>
        <v>-7.0974000009300653E-2</v>
      </c>
      <c r="O28" s="63">
        <f ca="1">+C$11+C$12*F28</f>
        <v>-6.3810950314906412E-2</v>
      </c>
      <c r="Q28" s="74">
        <f>+C28-15018.5</f>
        <v>38014.303699999997</v>
      </c>
    </row>
    <row r="29" spans="1:17" s="63" customFormat="1" x14ac:dyDescent="0.2">
      <c r="A29" s="27" t="s">
        <v>49</v>
      </c>
      <c r="B29" s="26" t="s">
        <v>45</v>
      </c>
      <c r="C29" s="29">
        <v>53057.450400000002</v>
      </c>
      <c r="D29" s="29">
        <v>6.0000000000000001E-3</v>
      </c>
      <c r="E29" s="63">
        <f>+(C29-C$7)/C$8</f>
        <v>19931.316924959643</v>
      </c>
      <c r="F29" s="63">
        <f>ROUND(2*E29,0)/2</f>
        <v>19931.5</v>
      </c>
      <c r="G29" s="63">
        <f>+C29-(C$7+F29*C$8)</f>
        <v>-6.9413999997777864E-2</v>
      </c>
      <c r="K29" s="63">
        <f>+G29</f>
        <v>-6.9413999997777864E-2</v>
      </c>
      <c r="O29" s="63">
        <f ca="1">+C$11+C$12*F29</f>
        <v>-6.3861395299209353E-2</v>
      </c>
      <c r="Q29" s="74">
        <f>+C29-15018.5</f>
        <v>38038.950400000002</v>
      </c>
    </row>
    <row r="30" spans="1:17" s="63" customFormat="1" x14ac:dyDescent="0.2">
      <c r="A30" s="30" t="s">
        <v>50</v>
      </c>
      <c r="B30" s="26" t="s">
        <v>45</v>
      </c>
      <c r="C30" s="25">
        <v>53839.652600000001</v>
      </c>
      <c r="D30" s="25">
        <v>2.0000000000000001E-4</v>
      </c>
      <c r="E30" s="63">
        <f>+(C30-C$7)/C$8</f>
        <v>21994.325818396646</v>
      </c>
      <c r="F30" s="63">
        <f>ROUND(2*E30,0)/2</f>
        <v>21994.5</v>
      </c>
      <c r="G30" s="63">
        <f>+C30-(C$7+F30*C$8)</f>
        <v>-6.6042000005836599E-2</v>
      </c>
      <c r="K30" s="63">
        <f>+G30</f>
        <v>-6.6042000005836599E-2</v>
      </c>
      <c r="O30" s="63">
        <f ca="1">+C$11+C$12*F30</f>
        <v>-6.5462441493316606E-2</v>
      </c>
      <c r="Q30" s="74">
        <f>+C30-15018.5</f>
        <v>38821.152600000001</v>
      </c>
    </row>
    <row r="31" spans="1:17" s="63" customFormat="1" x14ac:dyDescent="0.2">
      <c r="A31" s="27" t="s">
        <v>51</v>
      </c>
      <c r="B31" s="31" t="s">
        <v>46</v>
      </c>
      <c r="C31" s="27">
        <v>54211.425000000003</v>
      </c>
      <c r="D31" s="27">
        <v>2E-3</v>
      </c>
      <c r="E31" s="63">
        <f>+(C31-C$7)/C$8</f>
        <v>22974.852039793648</v>
      </c>
      <c r="F31" s="63">
        <f>ROUND(2*E31,0)/2</f>
        <v>22975</v>
      </c>
      <c r="G31" s="63">
        <f>+C31-(C$7+F31*C$8)</f>
        <v>-5.6100000001606531E-2</v>
      </c>
      <c r="K31" s="63">
        <f>+G31</f>
        <v>-5.6100000001606531E-2</v>
      </c>
      <c r="O31" s="63">
        <f ca="1">+C$11+C$12*F31</f>
        <v>-6.6223384679609476E-2</v>
      </c>
      <c r="Q31" s="74">
        <f>+C31-15018.5</f>
        <v>39192.925000000003</v>
      </c>
    </row>
    <row r="32" spans="1:17" s="63" customFormat="1" x14ac:dyDescent="0.2">
      <c r="A32" s="32" t="s">
        <v>52</v>
      </c>
      <c r="B32" s="33" t="s">
        <v>46</v>
      </c>
      <c r="C32" s="34">
        <v>54565.169900000001</v>
      </c>
      <c r="D32" s="76"/>
      <c r="E32" s="63">
        <f>+(C32-C$7)/C$8</f>
        <v>23907.831868676738</v>
      </c>
      <c r="F32" s="63">
        <f>ROUND(2*E32,0)/2</f>
        <v>23908</v>
      </c>
      <c r="G32" s="63">
        <f>+C32-(C$7+F32*C$8)</f>
        <v>-6.3748000000487082E-2</v>
      </c>
      <c r="K32" s="63">
        <f>+G32</f>
        <v>-6.3748000000487082E-2</v>
      </c>
      <c r="O32" s="63">
        <f ca="1">+C$11+C$12*F32</f>
        <v>-6.6947464223527098E-2</v>
      </c>
      <c r="Q32" s="74">
        <f>+C32-15018.5</f>
        <v>39546.669900000001</v>
      </c>
    </row>
    <row r="33" spans="1:17" s="63" customFormat="1" x14ac:dyDescent="0.2">
      <c r="A33" s="32" t="s">
        <v>52</v>
      </c>
      <c r="B33" s="33" t="s">
        <v>45</v>
      </c>
      <c r="C33" s="34">
        <v>54601.000999999997</v>
      </c>
      <c r="D33" s="76"/>
      <c r="E33" s="63">
        <f>+(C33-C$7)/C$8</f>
        <v>24002.33413159753</v>
      </c>
      <c r="F33" s="63">
        <f>ROUND(2*E33,0)/2</f>
        <v>24002.5</v>
      </c>
      <c r="G33" s="63">
        <f>+C33-(C$7+F33*C$8)</f>
        <v>-6.2890000008337665E-2</v>
      </c>
      <c r="K33" s="63">
        <f>+G33</f>
        <v>-6.2890000008337665E-2</v>
      </c>
      <c r="O33" s="63">
        <f ca="1">+C$11+C$12*F33</f>
        <v>-6.702080346993676E-2</v>
      </c>
      <c r="Q33" s="74">
        <f>+C33-15018.5</f>
        <v>39582.500999999997</v>
      </c>
    </row>
    <row r="34" spans="1:17" s="63" customFormat="1" x14ac:dyDescent="0.2">
      <c r="A34" s="32" t="s">
        <v>53</v>
      </c>
      <c r="B34" s="33" t="s">
        <v>45</v>
      </c>
      <c r="C34" s="34">
        <v>55975.431299999997</v>
      </c>
      <c r="D34" s="76"/>
      <c r="E34" s="63">
        <f>+(C34-C$7)/C$8</f>
        <v>27627.307229741829</v>
      </c>
      <c r="F34" s="63">
        <f>ROUND(2*E34,0)/2</f>
        <v>27627.5</v>
      </c>
      <c r="G34" s="63">
        <f>+C34-(C$7+F34*C$8)</f>
        <v>-7.3090000005322509E-2</v>
      </c>
      <c r="K34" s="63">
        <f>+G34</f>
        <v>-7.3090000005322509E-2</v>
      </c>
      <c r="O34" s="63">
        <f ca="1">+C$11+C$12*F34</f>
        <v>-6.983408144067782E-2</v>
      </c>
      <c r="Q34" s="74">
        <f>+C34-15018.5</f>
        <v>40956.931299999997</v>
      </c>
    </row>
    <row r="35" spans="1:17" s="63" customFormat="1" x14ac:dyDescent="0.2">
      <c r="A35" s="32" t="s">
        <v>53</v>
      </c>
      <c r="B35" s="33" t="s">
        <v>46</v>
      </c>
      <c r="C35" s="34">
        <v>55975.622600000002</v>
      </c>
      <c r="D35" s="76"/>
      <c r="E35" s="63">
        <f>+(C35-C$7)/C$8</f>
        <v>27627.811771408073</v>
      </c>
      <c r="F35" s="63">
        <f>ROUND(2*E35,0)/2</f>
        <v>27628</v>
      </c>
      <c r="G35" s="63">
        <f>+C35-(C$7+F35*C$8)</f>
        <v>-7.1368000004440546E-2</v>
      </c>
      <c r="K35" s="63">
        <f>+G35</f>
        <v>-7.1368000004440546E-2</v>
      </c>
      <c r="O35" s="63">
        <f ca="1">+C$11+C$12*F35</f>
        <v>-6.9834469479018613E-2</v>
      </c>
      <c r="Q35" s="74">
        <f>+C35-15018.5</f>
        <v>40957.122600000002</v>
      </c>
    </row>
    <row r="36" spans="1:17" s="63" customFormat="1" x14ac:dyDescent="0.2">
      <c r="A36" s="30" t="s">
        <v>54</v>
      </c>
      <c r="B36" s="26" t="s">
        <v>45</v>
      </c>
      <c r="C36" s="25">
        <v>56013.349170000001</v>
      </c>
      <c r="D36" s="25">
        <v>1E-4</v>
      </c>
      <c r="E36" s="63">
        <f>+(C36-C$7)/C$8</f>
        <v>27727.313216723454</v>
      </c>
      <c r="F36" s="63">
        <f>ROUND(2*E36,0)/2</f>
        <v>27727.5</v>
      </c>
      <c r="G36" s="63">
        <f>+C36-(C$7+F36*C$8)</f>
        <v>-7.0820000000821892E-2</v>
      </c>
      <c r="K36" s="63">
        <f>+G36</f>
        <v>-7.0820000000821892E-2</v>
      </c>
      <c r="O36" s="63">
        <f ca="1">+C$11+C$12*F36</f>
        <v>-6.9911689108836203E-2</v>
      </c>
      <c r="Q36" s="74">
        <f>+C36-15018.5</f>
        <v>40994.849170000001</v>
      </c>
    </row>
    <row r="37" spans="1:17" s="63" customFormat="1" x14ac:dyDescent="0.2">
      <c r="A37" s="25" t="s">
        <v>55</v>
      </c>
      <c r="B37" s="26" t="s">
        <v>45</v>
      </c>
      <c r="C37" s="25">
        <v>56703.409899999999</v>
      </c>
      <c r="D37" s="25">
        <v>5.9999999999999995E-4</v>
      </c>
      <c r="E37" s="63">
        <f>+(C37-C$7)/C$8</f>
        <v>29547.30480329995</v>
      </c>
      <c r="F37" s="63">
        <f>ROUND(2*E37,0)/2</f>
        <v>29547.5</v>
      </c>
      <c r="G37" s="63">
        <f>+C37-(C$7+F37*C$8)</f>
        <v>-7.4010000003909227E-2</v>
      </c>
      <c r="K37" s="63">
        <f>+G37</f>
        <v>-7.4010000003909227E-2</v>
      </c>
      <c r="O37" s="63">
        <f ca="1">+C$11+C$12*F37</f>
        <v>-7.1324148669318604E-2</v>
      </c>
      <c r="Q37" s="74">
        <f>+C37-15018.5</f>
        <v>41684.909899999999</v>
      </c>
    </row>
    <row r="38" spans="1:17" s="63" customFormat="1" x14ac:dyDescent="0.2">
      <c r="A38" s="25" t="s">
        <v>55</v>
      </c>
      <c r="B38" s="26" t="s">
        <v>45</v>
      </c>
      <c r="C38" s="25">
        <v>56703.41</v>
      </c>
      <c r="D38" s="25">
        <v>5.9999999999999995E-4</v>
      </c>
      <c r="E38" s="63">
        <f>+(C38-C$7)/C$8</f>
        <v>29547.305067043646</v>
      </c>
      <c r="F38" s="63">
        <f>ROUND(2*E38,0)/2</f>
        <v>29547.5</v>
      </c>
      <c r="G38" s="63">
        <f>+C38-(C$7+F38*C$8)</f>
        <v>-7.3909999999159481E-2</v>
      </c>
      <c r="K38" s="63">
        <f>+G38</f>
        <v>-7.3909999999159481E-2</v>
      </c>
      <c r="O38" s="63">
        <f ca="1">+C$11+C$12*F38</f>
        <v>-7.1324148669318604E-2</v>
      </c>
      <c r="Q38" s="74">
        <f>+C38-15018.5</f>
        <v>41684.910000000003</v>
      </c>
    </row>
    <row r="39" spans="1:17" s="63" customFormat="1" x14ac:dyDescent="0.2">
      <c r="A39" s="25" t="s">
        <v>55</v>
      </c>
      <c r="B39" s="26" t="s">
        <v>45</v>
      </c>
      <c r="C39" s="25">
        <v>56703.410649999998</v>
      </c>
      <c r="D39" s="25">
        <v>5.0000000000000001E-4</v>
      </c>
      <c r="E39" s="63">
        <f>+(C39-C$7)/C$8</f>
        <v>29547.306781377574</v>
      </c>
      <c r="F39" s="63">
        <f>ROUND(2*E39,0)/2</f>
        <v>29547.5</v>
      </c>
      <c r="G39" s="63">
        <f>+C39-(C$7+F39*C$8)</f>
        <v>-7.3260000004665926E-2</v>
      </c>
      <c r="K39" s="63">
        <f>+G39</f>
        <v>-7.3260000004665926E-2</v>
      </c>
      <c r="O39" s="63">
        <f ca="1">+C$11+C$12*F39</f>
        <v>-7.1324148669318604E-2</v>
      </c>
      <c r="Q39" s="74">
        <f>+C39-15018.5</f>
        <v>41684.910649999998</v>
      </c>
    </row>
    <row r="40" spans="1:17" s="63" customFormat="1" ht="12" customHeight="1" x14ac:dyDescent="0.2">
      <c r="A40" s="38" t="s">
        <v>57</v>
      </c>
      <c r="B40" s="39" t="s">
        <v>45</v>
      </c>
      <c r="C40" s="38">
        <v>57045.031799999997</v>
      </c>
      <c r="D40" s="38">
        <v>8.0000000000000004E-4</v>
      </c>
      <c r="E40" s="63">
        <f>+(C40-C$7)/C$8</f>
        <v>30448.310985451884</v>
      </c>
      <c r="F40" s="63">
        <f>ROUND(2*E40,0)/2</f>
        <v>30448.5</v>
      </c>
      <c r="G40" s="63">
        <f>+C40-(C$7+F40*C$8)</f>
        <v>-7.1666000003460795E-2</v>
      </c>
      <c r="K40" s="63">
        <f>+G40</f>
        <v>-7.1666000003460795E-2</v>
      </c>
      <c r="O40" s="63">
        <f ca="1">+C$11+C$12*F40</f>
        <v>-7.2023393759425569E-2</v>
      </c>
      <c r="Q40" s="74">
        <f>+C40-15018.5</f>
        <v>42026.531799999997</v>
      </c>
    </row>
    <row r="41" spans="1:17" s="63" customFormat="1" x14ac:dyDescent="0.2">
      <c r="A41" s="35" t="s">
        <v>56</v>
      </c>
      <c r="B41" s="36" t="s">
        <v>45</v>
      </c>
      <c r="C41" s="37">
        <v>57089.393790000002</v>
      </c>
      <c r="D41" s="37">
        <v>2.9999999999999997E-4</v>
      </c>
      <c r="E41" s="63">
        <f>+(C41-C$7)/C$8</f>
        <v>30565.312931880278</v>
      </c>
      <c r="F41" s="63">
        <f>ROUND(2*E41,0)/2</f>
        <v>30565.5</v>
      </c>
      <c r="G41" s="63">
        <f>+C41-(C$7+F41*C$8)</f>
        <v>-7.0928000001003966E-2</v>
      </c>
      <c r="K41" s="63">
        <f>+G41</f>
        <v>-7.0928000001003966E-2</v>
      </c>
      <c r="O41" s="63">
        <f ca="1">+C$11+C$12*F41</f>
        <v>-7.2114194731170866E-2</v>
      </c>
      <c r="Q41" s="74">
        <f>+C41-15018.5</f>
        <v>42070.893790000002</v>
      </c>
    </row>
    <row r="42" spans="1:17" s="63" customFormat="1" x14ac:dyDescent="0.2">
      <c r="A42" s="40" t="s">
        <v>58</v>
      </c>
      <c r="B42" s="41" t="s">
        <v>45</v>
      </c>
      <c r="C42" s="40">
        <v>57477.837699999996</v>
      </c>
      <c r="D42" s="40">
        <v>8.9999999999999998E-4</v>
      </c>
      <c r="E42" s="63">
        <f>+(C42-C$7)/C$8</f>
        <v>31589.809207819457</v>
      </c>
      <c r="F42" s="63">
        <f>ROUND(2*E42,0)/2</f>
        <v>31590</v>
      </c>
      <c r="G42" s="63">
        <f>+C42-(C$7+F42*C$8)</f>
        <v>-7.2340000006079208E-2</v>
      </c>
      <c r="K42" s="63">
        <f>+G42</f>
        <v>-7.2340000006079208E-2</v>
      </c>
      <c r="O42" s="63">
        <f ca="1">+C$11+C$12*F42</f>
        <v>-7.2909285291453407E-2</v>
      </c>
      <c r="Q42" s="74">
        <f>+C42-15018.5</f>
        <v>42459.337699999996</v>
      </c>
    </row>
    <row r="43" spans="1:17" s="63" customFormat="1" x14ac:dyDescent="0.2">
      <c r="A43" s="42" t="s">
        <v>59</v>
      </c>
      <c r="B43" s="43" t="s">
        <v>45</v>
      </c>
      <c r="C43" s="44">
        <v>57780.592490000185</v>
      </c>
      <c r="D43" s="44">
        <v>1.9E-3</v>
      </c>
      <c r="E43" s="63">
        <f>+(C43-C$7)/C$8</f>
        <v>32388.305842450554</v>
      </c>
      <c r="F43" s="63">
        <f>ROUND(2*E43,0)/2</f>
        <v>32388.5</v>
      </c>
      <c r="G43" s="63">
        <f>+C43-(C$7+F43*C$8)</f>
        <v>-7.3615999819594435E-2</v>
      </c>
      <c r="K43" s="63">
        <f>+G43</f>
        <v>-7.3615999819594435E-2</v>
      </c>
      <c r="O43" s="63">
        <f ca="1">+C$11+C$12*F43</f>
        <v>-7.3528982521698025E-2</v>
      </c>
      <c r="Q43" s="74">
        <f>+C43-15018.5</f>
        <v>42762.092490000185</v>
      </c>
    </row>
    <row r="44" spans="1:17" s="63" customFormat="1" x14ac:dyDescent="0.2">
      <c r="A44" s="57" t="s">
        <v>113</v>
      </c>
      <c r="B44" s="58" t="s">
        <v>46</v>
      </c>
      <c r="C44" s="59">
        <v>59680.353999999999</v>
      </c>
      <c r="D44" s="60">
        <v>8.0000000000000002E-3</v>
      </c>
      <c r="E44" s="63">
        <f>+(C44-C$7)/C$8</f>
        <v>37398.806823576568</v>
      </c>
      <c r="F44" s="63">
        <f>ROUND(2*E44,0)/2</f>
        <v>37399</v>
      </c>
      <c r="G44" s="63">
        <f>+C44-(C$7+F44*C$8)</f>
        <v>-7.3244000006525312E-2</v>
      </c>
      <c r="K44" s="63">
        <f>+G44</f>
        <v>-7.3244000006525312E-2</v>
      </c>
      <c r="O44" s="63">
        <f ca="1">+C$11+C$12*F44</f>
        <v>-7.741751473477336E-2</v>
      </c>
      <c r="Q44" s="74">
        <f>+C44-15018.5</f>
        <v>44661.853999999999</v>
      </c>
    </row>
    <row r="45" spans="1:17" s="63" customFormat="1" ht="12" customHeight="1" x14ac:dyDescent="0.2">
      <c r="A45" s="57" t="s">
        <v>113</v>
      </c>
      <c r="B45" s="58" t="s">
        <v>46</v>
      </c>
      <c r="C45" s="59">
        <v>59685.464999999997</v>
      </c>
      <c r="D45" s="60">
        <v>7.0000000000000001E-3</v>
      </c>
      <c r="E45" s="63">
        <f>+(C45-C$7)/C$8</f>
        <v>37412.286763232005</v>
      </c>
      <c r="F45" s="63">
        <f>ROUND(2*E45,0)/2</f>
        <v>37412.5</v>
      </c>
      <c r="G45" s="63">
        <f>+C45-(C$7+F45*C$8)</f>
        <v>-8.0850000005739275E-2</v>
      </c>
      <c r="K45" s="63">
        <f>+G45</f>
        <v>-8.0850000005739275E-2</v>
      </c>
      <c r="O45" s="63">
        <f ca="1">+C$11+C$12*F45</f>
        <v>-7.7427991769974738E-2</v>
      </c>
      <c r="Q45" s="74">
        <f>+C45-15018.5</f>
        <v>44666.964999999997</v>
      </c>
    </row>
    <row r="46" spans="1:17" s="63" customFormat="1" ht="12" customHeight="1" x14ac:dyDescent="0.2">
      <c r="A46" s="57" t="s">
        <v>114</v>
      </c>
      <c r="B46" s="58" t="s">
        <v>45</v>
      </c>
      <c r="C46" s="59">
        <v>59737.415800000002</v>
      </c>
      <c r="D46" s="60">
        <v>2.9999999999999997E-4</v>
      </c>
      <c r="E46" s="63">
        <f>+(C46-C$7)/C$8</f>
        <v>37549.303716675982</v>
      </c>
      <c r="F46" s="63">
        <f>ROUND(2*E46,0)/2</f>
        <v>37549.5</v>
      </c>
      <c r="G46" s="63">
        <f>+C46-(C$7+F46*C$8)</f>
        <v>-7.4421999997866806E-2</v>
      </c>
      <c r="K46" s="63">
        <f>+G46</f>
        <v>-7.4421999997866806E-2</v>
      </c>
      <c r="O46" s="63">
        <f ca="1">+C$11+C$12*F46</f>
        <v>-7.7534314275351707E-2</v>
      </c>
      <c r="Q46" s="74">
        <f>+C46-15018.5</f>
        <v>44718.915800000002</v>
      </c>
    </row>
    <row r="47" spans="1:17" s="63" customFormat="1" ht="12" customHeight="1" x14ac:dyDescent="0.2">
      <c r="A47" s="57" t="s">
        <v>115</v>
      </c>
      <c r="B47" s="61" t="s">
        <v>45</v>
      </c>
      <c r="C47" s="77">
        <v>60443.399400000002</v>
      </c>
      <c r="D47" s="62">
        <v>2.0000000000000001E-4</v>
      </c>
      <c r="E47" s="63">
        <f>+(C47-C$7)/C$8</f>
        <v>39411.290867083735</v>
      </c>
      <c r="F47" s="63">
        <f>ROUND(2*E47,0)/2</f>
        <v>39411.5</v>
      </c>
      <c r="G47" s="63">
        <f>+C47-(C$7+F47*C$8)</f>
        <v>-7.9294000002846587E-2</v>
      </c>
      <c r="K47" s="63">
        <f>+G47</f>
        <v>-7.9294000002846587E-2</v>
      </c>
      <c r="O47" s="63">
        <f ca="1">+C$11+C$12*F47</f>
        <v>-7.8979369056460635E-2</v>
      </c>
      <c r="Q47" s="74">
        <f>+C47-15018.5</f>
        <v>45424.899400000002</v>
      </c>
    </row>
    <row r="48" spans="1:17" s="63" customFormat="1" x14ac:dyDescent="0.2"/>
  </sheetData>
  <sheetProtection selectLockedCells="1" selectUnlockedCells="1"/>
  <sortState xmlns:xlrd2="http://schemas.microsoft.com/office/spreadsheetml/2017/richdata2" ref="A21:U48">
    <sortCondition ref="C21:C4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workbookViewId="0">
      <selection activeCell="A16" sqref="A16"/>
    </sheetView>
  </sheetViews>
  <sheetFormatPr defaultRowHeight="12.75" x14ac:dyDescent="0.2"/>
  <cols>
    <col min="1" max="1" width="19.710937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5" t="s">
        <v>60</v>
      </c>
      <c r="I1" s="46" t="s">
        <v>61</v>
      </c>
      <c r="J1" s="47" t="s">
        <v>36</v>
      </c>
    </row>
    <row r="2" spans="1:16" x14ac:dyDescent="0.2">
      <c r="I2" s="48" t="s">
        <v>62</v>
      </c>
      <c r="J2" s="49" t="s">
        <v>35</v>
      </c>
    </row>
    <row r="3" spans="1:16" x14ac:dyDescent="0.2">
      <c r="A3" s="50" t="s">
        <v>63</v>
      </c>
      <c r="I3" s="48" t="s">
        <v>64</v>
      </c>
      <c r="J3" s="49" t="s">
        <v>33</v>
      </c>
    </row>
    <row r="4" spans="1:16" x14ac:dyDescent="0.2">
      <c r="I4" s="48" t="s">
        <v>65</v>
      </c>
      <c r="J4" s="49" t="s">
        <v>33</v>
      </c>
    </row>
    <row r="5" spans="1:16" x14ac:dyDescent="0.2">
      <c r="I5" s="51" t="s">
        <v>66</v>
      </c>
      <c r="J5" s="52" t="s">
        <v>34</v>
      </c>
    </row>
    <row r="11" spans="1:16" ht="12.75" customHeight="1" x14ac:dyDescent="0.2">
      <c r="A11" s="24" t="str">
        <f t="shared" ref="A11:A19" si="0">P11</f>
        <v>IBVS 5603 </v>
      </c>
      <c r="B11" s="18" t="str">
        <f t="shared" ref="B11:B19" si="1">IF(H11=INT(H11),"I","II")</f>
        <v>I</v>
      </c>
      <c r="C11" s="24">
        <f t="shared" ref="C11:C19" si="2">1*G11</f>
        <v>53032.803699999997</v>
      </c>
      <c r="D11" t="str">
        <f t="shared" ref="D11:D19" si="3">VLOOKUP(F11,I$1:J$5,2,FALSE)</f>
        <v>vis</v>
      </c>
      <c r="E11">
        <f>VLOOKUP(C11,Active!C$21:E$973,3,FALSE)</f>
        <v>19866.312810558171</v>
      </c>
      <c r="F11" s="18" t="s">
        <v>66</v>
      </c>
      <c r="G11" t="str">
        <f t="shared" ref="G11:G19" si="4">MID(I11,3,LEN(I11)-3)</f>
        <v>53032.8037</v>
      </c>
      <c r="H11" s="24">
        <f t="shared" ref="H11:H19" si="5">1*K11</f>
        <v>1405</v>
      </c>
      <c r="I11" s="53" t="s">
        <v>67</v>
      </c>
      <c r="J11" s="54" t="s">
        <v>68</v>
      </c>
      <c r="K11" s="53">
        <v>1405</v>
      </c>
      <c r="L11" s="53" t="s">
        <v>69</v>
      </c>
      <c r="M11" s="54" t="s">
        <v>70</v>
      </c>
      <c r="N11" s="54" t="s">
        <v>71</v>
      </c>
      <c r="O11" s="55" t="s">
        <v>72</v>
      </c>
      <c r="P11" s="56" t="s">
        <v>73</v>
      </c>
    </row>
    <row r="12" spans="1:16" ht="12.75" customHeight="1" x14ac:dyDescent="0.2">
      <c r="A12" s="24" t="str">
        <f t="shared" si="0"/>
        <v>IBVS 5592 </v>
      </c>
      <c r="B12" s="18" t="str">
        <f t="shared" si="1"/>
        <v>I</v>
      </c>
      <c r="C12" s="24">
        <f t="shared" si="2"/>
        <v>53057.450400000002</v>
      </c>
      <c r="D12" t="str">
        <f t="shared" si="3"/>
        <v>vis</v>
      </c>
      <c r="E12">
        <f>VLOOKUP(C12,Active!C$21:E$973,3,FALSE)</f>
        <v>19931.316924959643</v>
      </c>
      <c r="F12" s="18" t="s">
        <v>66</v>
      </c>
      <c r="G12" t="str">
        <f t="shared" si="4"/>
        <v>53057.4504</v>
      </c>
      <c r="H12" s="24">
        <f t="shared" si="5"/>
        <v>1470</v>
      </c>
      <c r="I12" s="53" t="s">
        <v>74</v>
      </c>
      <c r="J12" s="54" t="s">
        <v>75</v>
      </c>
      <c r="K12" s="53">
        <v>1470</v>
      </c>
      <c r="L12" s="53" t="s">
        <v>76</v>
      </c>
      <c r="M12" s="54" t="s">
        <v>70</v>
      </c>
      <c r="N12" s="54" t="s">
        <v>71</v>
      </c>
      <c r="O12" s="55" t="s">
        <v>77</v>
      </c>
      <c r="P12" s="56" t="s">
        <v>78</v>
      </c>
    </row>
    <row r="13" spans="1:16" ht="12.75" customHeight="1" x14ac:dyDescent="0.2">
      <c r="A13" s="24" t="str">
        <f t="shared" si="0"/>
        <v> JAAVSO 41;122 </v>
      </c>
      <c r="B13" s="18" t="str">
        <f t="shared" si="1"/>
        <v>I</v>
      </c>
      <c r="C13" s="24">
        <f t="shared" si="2"/>
        <v>53839.652600000001</v>
      </c>
      <c r="D13" t="str">
        <f t="shared" si="3"/>
        <v>vis</v>
      </c>
      <c r="E13">
        <f>VLOOKUP(C13,Active!C$21:E$973,3,FALSE)</f>
        <v>21994.325818396646</v>
      </c>
      <c r="F13" s="18" t="s">
        <v>66</v>
      </c>
      <c r="G13" t="str">
        <f t="shared" si="4"/>
        <v>53839.6526</v>
      </c>
      <c r="H13" s="24">
        <f t="shared" si="5"/>
        <v>3533</v>
      </c>
      <c r="I13" s="53" t="s">
        <v>79</v>
      </c>
      <c r="J13" s="54" t="s">
        <v>80</v>
      </c>
      <c r="K13" s="53">
        <v>3533</v>
      </c>
      <c r="L13" s="53" t="s">
        <v>81</v>
      </c>
      <c r="M13" s="54" t="s">
        <v>82</v>
      </c>
      <c r="N13" s="54" t="s">
        <v>83</v>
      </c>
      <c r="O13" s="55" t="s">
        <v>84</v>
      </c>
      <c r="P13" s="55" t="s">
        <v>85</v>
      </c>
    </row>
    <row r="14" spans="1:16" ht="12.75" customHeight="1" x14ac:dyDescent="0.2">
      <c r="A14" s="24" t="str">
        <f t="shared" si="0"/>
        <v>IBVS 5835 </v>
      </c>
      <c r="B14" s="18" t="str">
        <f t="shared" si="1"/>
        <v>II</v>
      </c>
      <c r="C14" s="24">
        <f t="shared" si="2"/>
        <v>54211.425000000003</v>
      </c>
      <c r="D14" t="str">
        <f t="shared" si="3"/>
        <v>vis</v>
      </c>
      <c r="E14">
        <f>VLOOKUP(C14,Active!C$21:E$973,3,FALSE)</f>
        <v>22974.852039793648</v>
      </c>
      <c r="F14" s="18" t="s">
        <v>66</v>
      </c>
      <c r="G14" t="str">
        <f t="shared" si="4"/>
        <v>54211.425</v>
      </c>
      <c r="H14" s="24">
        <f t="shared" si="5"/>
        <v>4513.5</v>
      </c>
      <c r="I14" s="53" t="s">
        <v>86</v>
      </c>
      <c r="J14" s="54" t="s">
        <v>87</v>
      </c>
      <c r="K14" s="53">
        <v>4513.5</v>
      </c>
      <c r="L14" s="53" t="s">
        <v>88</v>
      </c>
      <c r="M14" s="54" t="s">
        <v>82</v>
      </c>
      <c r="N14" s="54" t="s">
        <v>66</v>
      </c>
      <c r="O14" s="55" t="s">
        <v>89</v>
      </c>
      <c r="P14" s="56" t="s">
        <v>90</v>
      </c>
    </row>
    <row r="15" spans="1:16" ht="12.75" customHeight="1" x14ac:dyDescent="0.2">
      <c r="A15" s="24" t="str">
        <f t="shared" si="0"/>
        <v>OEJV 0160 </v>
      </c>
      <c r="B15" s="18" t="str">
        <f t="shared" si="1"/>
        <v>I</v>
      </c>
      <c r="C15" s="24">
        <f t="shared" si="2"/>
        <v>56013.349170000001</v>
      </c>
      <c r="D15" t="str">
        <f t="shared" si="3"/>
        <v>vis</v>
      </c>
      <c r="E15">
        <f>VLOOKUP(C15,Active!C$21:E$973,3,FALSE)</f>
        <v>27727.313216723454</v>
      </c>
      <c r="F15" s="18" t="s">
        <v>66</v>
      </c>
      <c r="G15" t="str">
        <f t="shared" si="4"/>
        <v>56013.34917</v>
      </c>
      <c r="H15" s="24">
        <f t="shared" si="5"/>
        <v>9266</v>
      </c>
      <c r="I15" s="53" t="s">
        <v>91</v>
      </c>
      <c r="J15" s="54" t="s">
        <v>92</v>
      </c>
      <c r="K15" s="53">
        <v>9266</v>
      </c>
      <c r="L15" s="53" t="s">
        <v>93</v>
      </c>
      <c r="M15" s="54" t="s">
        <v>82</v>
      </c>
      <c r="N15" s="54" t="s">
        <v>61</v>
      </c>
      <c r="O15" s="55" t="s">
        <v>94</v>
      </c>
      <c r="P15" s="56" t="s">
        <v>95</v>
      </c>
    </row>
    <row r="16" spans="1:16" ht="12.75" customHeight="1" x14ac:dyDescent="0.2">
      <c r="A16" s="24" t="str">
        <f t="shared" si="0"/>
        <v>VSB 48 </v>
      </c>
      <c r="B16" s="18" t="str">
        <f t="shared" si="1"/>
        <v>II</v>
      </c>
      <c r="C16" s="24">
        <f t="shared" si="2"/>
        <v>54565.169900000001</v>
      </c>
      <c r="D16" t="str">
        <f t="shared" si="3"/>
        <v>vis</v>
      </c>
      <c r="E16">
        <f>VLOOKUP(C16,Active!C$21:E$973,3,FALSE)</f>
        <v>23907.831868676738</v>
      </c>
      <c r="F16" s="18" t="s">
        <v>66</v>
      </c>
      <c r="G16" t="str">
        <f t="shared" si="4"/>
        <v>54565.1699</v>
      </c>
      <c r="H16" s="24">
        <f t="shared" si="5"/>
        <v>5446.5</v>
      </c>
      <c r="I16" s="53" t="s">
        <v>96</v>
      </c>
      <c r="J16" s="54" t="s">
        <v>97</v>
      </c>
      <c r="K16" s="53">
        <v>5446.5</v>
      </c>
      <c r="L16" s="53" t="s">
        <v>98</v>
      </c>
      <c r="M16" s="54" t="s">
        <v>82</v>
      </c>
      <c r="N16" s="54" t="s">
        <v>99</v>
      </c>
      <c r="O16" s="55" t="s">
        <v>100</v>
      </c>
      <c r="P16" s="56" t="s">
        <v>52</v>
      </c>
    </row>
    <row r="17" spans="1:16" ht="12.75" customHeight="1" x14ac:dyDescent="0.2">
      <c r="A17" s="24" t="str">
        <f t="shared" si="0"/>
        <v>VSB 48 </v>
      </c>
      <c r="B17" s="18" t="str">
        <f t="shared" si="1"/>
        <v>I</v>
      </c>
      <c r="C17" s="24">
        <f t="shared" si="2"/>
        <v>54601.000999999997</v>
      </c>
      <c r="D17" t="str">
        <f t="shared" si="3"/>
        <v>vis</v>
      </c>
      <c r="E17">
        <f>VLOOKUP(C17,Active!C$21:E$973,3,FALSE)</f>
        <v>24002.33413159753</v>
      </c>
      <c r="F17" s="18" t="s">
        <v>66</v>
      </c>
      <c r="G17" t="str">
        <f t="shared" si="4"/>
        <v>54601.0010</v>
      </c>
      <c r="H17" s="24">
        <f t="shared" si="5"/>
        <v>5541</v>
      </c>
      <c r="I17" s="53" t="s">
        <v>101</v>
      </c>
      <c r="J17" s="54" t="s">
        <v>102</v>
      </c>
      <c r="K17" s="53">
        <v>5541</v>
      </c>
      <c r="L17" s="53" t="s">
        <v>103</v>
      </c>
      <c r="M17" s="54" t="s">
        <v>82</v>
      </c>
      <c r="N17" s="54" t="s">
        <v>99</v>
      </c>
      <c r="O17" s="55" t="s">
        <v>100</v>
      </c>
      <c r="P17" s="56" t="s">
        <v>52</v>
      </c>
    </row>
    <row r="18" spans="1:16" ht="12.75" customHeight="1" x14ac:dyDescent="0.2">
      <c r="A18" s="24" t="str">
        <f t="shared" si="0"/>
        <v>IBVS 6095 </v>
      </c>
      <c r="B18" s="18" t="str">
        <f t="shared" si="1"/>
        <v>I</v>
      </c>
      <c r="C18" s="24">
        <f t="shared" si="2"/>
        <v>55975.431299999997</v>
      </c>
      <c r="D18" t="str">
        <f t="shared" si="3"/>
        <v>vis</v>
      </c>
      <c r="E18">
        <f>VLOOKUP(C18,Active!C$21:E$973,3,FALSE)</f>
        <v>27627.307229741829</v>
      </c>
      <c r="F18" s="18" t="s">
        <v>66</v>
      </c>
      <c r="G18" t="str">
        <f t="shared" si="4"/>
        <v>55975.4313</v>
      </c>
      <c r="H18" s="24">
        <f t="shared" si="5"/>
        <v>9166</v>
      </c>
      <c r="I18" s="53" t="s">
        <v>104</v>
      </c>
      <c r="J18" s="54" t="s">
        <v>105</v>
      </c>
      <c r="K18" s="53">
        <v>9166</v>
      </c>
      <c r="L18" s="53" t="s">
        <v>106</v>
      </c>
      <c r="M18" s="54" t="s">
        <v>82</v>
      </c>
      <c r="N18" s="54" t="s">
        <v>107</v>
      </c>
      <c r="O18" s="55" t="s">
        <v>108</v>
      </c>
      <c r="P18" s="56" t="s">
        <v>109</v>
      </c>
    </row>
    <row r="19" spans="1:16" ht="12.75" customHeight="1" x14ac:dyDescent="0.2">
      <c r="A19" s="24" t="str">
        <f t="shared" si="0"/>
        <v>IBVS 6095 </v>
      </c>
      <c r="B19" s="18" t="str">
        <f t="shared" si="1"/>
        <v>II</v>
      </c>
      <c r="C19" s="24">
        <f t="shared" si="2"/>
        <v>55975.622600000002</v>
      </c>
      <c r="D19" t="str">
        <f t="shared" si="3"/>
        <v>vis</v>
      </c>
      <c r="E19">
        <f>VLOOKUP(C19,Active!C$21:E$973,3,FALSE)</f>
        <v>27627.811771408073</v>
      </c>
      <c r="F19" s="18" t="s">
        <v>66</v>
      </c>
      <c r="G19" t="str">
        <f t="shared" si="4"/>
        <v>55975.6226</v>
      </c>
      <c r="H19" s="24">
        <f t="shared" si="5"/>
        <v>9166.5</v>
      </c>
      <c r="I19" s="53" t="s">
        <v>110</v>
      </c>
      <c r="J19" s="54" t="s">
        <v>111</v>
      </c>
      <c r="K19" s="53">
        <v>9166.5</v>
      </c>
      <c r="L19" s="53" t="s">
        <v>112</v>
      </c>
      <c r="M19" s="54" t="s">
        <v>82</v>
      </c>
      <c r="N19" s="54" t="s">
        <v>107</v>
      </c>
      <c r="O19" s="55" t="s">
        <v>108</v>
      </c>
      <c r="P19" s="56" t="s">
        <v>109</v>
      </c>
    </row>
  </sheetData>
  <sheetProtection selectLockedCells="1" selectUnlockedCells="1"/>
  <hyperlinks>
    <hyperlink ref="P11" r:id="rId1" xr:uid="{00000000-0004-0000-0100-000000000000}"/>
    <hyperlink ref="P12" r:id="rId2" xr:uid="{00000000-0004-0000-0100-000001000000}"/>
    <hyperlink ref="P14" r:id="rId3" xr:uid="{00000000-0004-0000-0100-000002000000}"/>
    <hyperlink ref="P15" r:id="rId4" xr:uid="{00000000-0004-0000-0100-000003000000}"/>
    <hyperlink ref="P16" r:id="rId5" xr:uid="{00000000-0004-0000-0100-000004000000}"/>
    <hyperlink ref="P17" r:id="rId6" xr:uid="{00000000-0004-0000-0100-000005000000}"/>
    <hyperlink ref="P18" r:id="rId7" xr:uid="{00000000-0004-0000-0100-000006000000}"/>
    <hyperlink ref="P19" r:id="rId8" xr:uid="{00000000-0004-0000-0100-000007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2023-01-25T05:05:06Z</dcterms:created>
  <dcterms:modified xsi:type="dcterms:W3CDTF">2025-01-10T04:09:42Z</dcterms:modified>
</cp:coreProperties>
</file>