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C5DEF1-2259-4851-8E3F-2CEADD9F0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Q35" i="1"/>
  <c r="E36" i="1"/>
  <c r="F36" i="1" s="1"/>
  <c r="G36" i="1" s="1"/>
  <c r="Q36" i="1"/>
  <c r="F12" i="1"/>
  <c r="E33" i="1"/>
  <c r="F33" i="1" s="1"/>
  <c r="G33" i="1" s="1"/>
  <c r="Q33" i="1"/>
  <c r="E34" i="1"/>
  <c r="F34" i="1" s="1"/>
  <c r="G34" i="1" s="1"/>
  <c r="Q34" i="1"/>
  <c r="C13" i="1"/>
  <c r="D13" i="1"/>
  <c r="C14" i="1"/>
  <c r="D14" i="1"/>
  <c r="C17" i="1"/>
  <c r="E21" i="1"/>
  <c r="F21" i="1" s="1"/>
  <c r="G21" i="1" s="1"/>
  <c r="Q21" i="1"/>
  <c r="E22" i="1"/>
  <c r="F22" i="1" s="1"/>
  <c r="G22" i="1" s="1"/>
  <c r="Q22" i="1"/>
  <c r="E23" i="1"/>
  <c r="F23" i="1" s="1"/>
  <c r="G23" i="1" s="1"/>
  <c r="Q23" i="1"/>
  <c r="E24" i="1"/>
  <c r="F24" i="1" s="1"/>
  <c r="G24" i="1" s="1"/>
  <c r="Q24" i="1"/>
  <c r="E25" i="1"/>
  <c r="F25" i="1" s="1"/>
  <c r="G25" i="1" s="1"/>
  <c r="Q25" i="1"/>
  <c r="E26" i="1"/>
  <c r="F26" i="1" s="1"/>
  <c r="G26" i="1" s="1"/>
  <c r="Q26" i="1"/>
  <c r="E27" i="1"/>
  <c r="F27" i="1" s="1"/>
  <c r="G27" i="1" s="1"/>
  <c r="Q27" i="1"/>
  <c r="E28" i="1"/>
  <c r="F28" i="1" s="1"/>
  <c r="G28" i="1" s="1"/>
  <c r="Q28" i="1"/>
  <c r="E29" i="1"/>
  <c r="F29" i="1" s="1"/>
  <c r="G29" i="1" s="1"/>
  <c r="Q29" i="1"/>
  <c r="E30" i="1"/>
  <c r="F30" i="1" s="1"/>
  <c r="G30" i="1" s="1"/>
  <c r="Q30" i="1"/>
  <c r="E31" i="1"/>
  <c r="F31" i="1" s="1"/>
  <c r="G31" i="1" s="1"/>
  <c r="Q31" i="1"/>
  <c r="E32" i="1"/>
  <c r="F32" i="1" s="1"/>
  <c r="G32" i="1" s="1"/>
  <c r="Q32" i="1"/>
  <c r="R35" i="1" l="1"/>
  <c r="I35" i="1"/>
  <c r="R29" i="1"/>
  <c r="K29" i="1"/>
  <c r="R28" i="1"/>
  <c r="K28" i="1"/>
  <c r="R32" i="1"/>
  <c r="K32" i="1"/>
  <c r="K27" i="1"/>
  <c r="R27" i="1"/>
  <c r="R31" i="1"/>
  <c r="K31" i="1"/>
  <c r="K30" i="1"/>
  <c r="R30" i="1"/>
  <c r="R26" i="1"/>
  <c r="K26" i="1"/>
  <c r="R36" i="1"/>
  <c r="K36" i="1"/>
  <c r="R25" i="1"/>
  <c r="K25" i="1"/>
  <c r="R24" i="1"/>
  <c r="K24" i="1"/>
  <c r="R21" i="1"/>
  <c r="H21" i="1"/>
  <c r="S23" i="1"/>
  <c r="K23" i="1"/>
  <c r="R22" i="1"/>
  <c r="K22" i="1"/>
  <c r="F13" i="1"/>
  <c r="K34" i="1"/>
  <c r="R34" i="1"/>
  <c r="K33" i="1"/>
  <c r="R33" i="1"/>
  <c r="D12" i="1"/>
  <c r="D11" i="1"/>
  <c r="C12" i="1"/>
  <c r="C11" i="1"/>
  <c r="O35" i="1" l="1"/>
  <c r="O36" i="1"/>
  <c r="D15" i="1"/>
  <c r="D16" i="1"/>
  <c r="S19" i="1"/>
  <c r="E19" i="1" s="1"/>
  <c r="O34" i="1"/>
  <c r="O33" i="1"/>
  <c r="R19" i="1"/>
  <c r="E18" i="1" s="1"/>
  <c r="C16" i="1"/>
  <c r="D18" i="1" s="1"/>
  <c r="O22" i="1"/>
  <c r="O31" i="1"/>
  <c r="C15" i="1"/>
  <c r="O24" i="1"/>
  <c r="O25" i="1"/>
  <c r="O29" i="1"/>
  <c r="O21" i="1"/>
  <c r="O32" i="1"/>
  <c r="O27" i="1"/>
  <c r="O23" i="1"/>
  <c r="O28" i="1"/>
  <c r="O26" i="1"/>
  <c r="O30" i="1"/>
  <c r="F14" i="1" l="1"/>
  <c r="F16" i="1" s="1"/>
  <c r="C18" i="1"/>
  <c r="F15" i="1" l="1"/>
</calcChain>
</file>

<file path=xl/sharedStrings.xml><?xml version="1.0" encoding="utf-8"?>
<sst xmlns="http://schemas.openxmlformats.org/spreadsheetml/2006/main" count="82" uniqueCount="63">
  <si>
    <t xml:space="preserve">NU UMa / GSC 3829-0322 / NSV 18546 </t>
  </si>
  <si>
    <t>System Type:</t>
  </si>
  <si>
    <t>EA</t>
  </si>
  <si>
    <t>UMa</t>
  </si>
  <si>
    <t>G3829-0322 _UMa.xls</t>
  </si>
  <si>
    <t>IBVS 5557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</si>
  <si>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</si>
  <si>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</si>
  <si>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</si>
  <si>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</si>
  <si>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</si>
  <si>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</si>
  <si>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</si>
  <si>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</si>
  <si>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</si>
  <si>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</si>
  <si>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</si>
  <si>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</si>
  <si>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</si>
  <si>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</si>
  <si>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</si>
  <si>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</si>
  <si>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</si>
  <si>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New Period =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</si>
  <si>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</si>
  <si>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</si>
  <si>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</si>
  <si>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</si>
  <si>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</si>
  <si>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</si>
  <si>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</si>
  <si>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</si>
  <si>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</si>
  <si>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</si>
  <si>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pg</t>
  </si>
  <si>
    <t>PE</t>
  </si>
  <si>
    <t>CCD</t>
  </si>
  <si>
    <t>S5</t>
  </si>
  <si>
    <t>S6</t>
  </si>
  <si>
    <t>Misc</t>
  </si>
  <si>
    <t>Prim. Fit</t>
  </si>
  <si>
    <t>Sec. Fit</t>
  </si>
  <si>
    <t>Date</t>
  </si>
  <si>
    <t>IBVS 5557</t>
  </si>
  <si>
    <t>na</t>
  </si>
  <si>
    <t>OEJV 0107</t>
  </si>
  <si>
    <t>I</t>
  </si>
  <si>
    <t>IBVS 6114</t>
  </si>
  <si>
    <t>II</t>
  </si>
  <si>
    <t>IBVS 6154</t>
  </si>
  <si>
    <t>IBVS 6195</t>
  </si>
  <si>
    <t>IBVS 6196</t>
  </si>
  <si>
    <t>IBVS 6244</t>
  </si>
  <si>
    <t>OEJV 0210</t>
  </si>
  <si>
    <t>VSB, 91</t>
  </si>
  <si>
    <t>JBAV, 60</t>
  </si>
  <si>
    <t>V</t>
  </si>
  <si>
    <t>BAAVSS 202, 43</t>
  </si>
  <si>
    <t xml:space="preserve">Mag </t>
  </si>
  <si>
    <t>Next ToM-P</t>
  </si>
  <si>
    <t>Next ToM-S</t>
  </si>
  <si>
    <t>9.37-9.69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</si>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</sst>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6" formatCode="d/mm/yyyy;@"/>
    <numFmt numFmtId="167" formatCode="0.00000"/>
  </numFmts>
  <fonts count="1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</cellStyleXfs>
  <cellXfs count="53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/>
    <xf numFmtId="166" fontId="0" fillId="0" borderId="0" xfId="0" applyNumberForma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5" applyFont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0" fontId="8" fillId="0" borderId="0" xfId="5" applyFont="1" applyAlignment="1">
      <alignment horizontal="left" vertical="center"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2" fillId="0" borderId="0" xfId="0" applyFont="1" applyAlignment="1">
      <alignment vertical="center"/>
    </xf>
    <xf numFmtId="16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7" fontId="12" fillId="0" borderId="0" xfId="0" applyNumberFormat="1" applyFont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22" fontId="7" fillId="0" borderId="9" xfId="0" applyNumberFormat="1" applyFont="1" applyBorder="1" applyAlignment="1">
      <alignment horizontal="righ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UMa - O-C Diagr.</a:t>
            </a:r>
          </a:p>
        </c:rich>
      </c:tx>
      <c:layout>
        <c:manualLayout>
          <c:xMode val="edge"/>
          <c:yMode val="edge"/>
          <c:x val="0.362903225806451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4946236559141"/>
          <c:y val="0.15520833333333336"/>
          <c:w val="0.81182795698924726"/>
          <c:h val="0.619791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1'!$H$21:$H$320</c:f>
              <c:numCache>
                <c:formatCode>General</c:formatCode>
                <c:ptCount val="300"/>
                <c:pt idx="0">
                  <c:v>-1.2554999993881211E-2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0-459C-954D-F5B362192A8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1'!$I$21:$I$320</c:f>
              <c:numCache>
                <c:formatCode>General</c:formatCode>
                <c:ptCount val="300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0-459C-954D-F5B362192A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C0-459C-954D-F5B362192A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1'!$K$21:$K$320</c:f>
              <c:numCache>
                <c:formatCode>General</c:formatCode>
                <c:ptCount val="300"/>
                <c:pt idx="1">
                  <c:v>-2.3036999999021646E-2</c:v>
                </c:pt>
                <c:pt idx="2">
                  <c:v>-6.7760000019916333E-3</c:v>
                </c:pt>
                <c:pt idx="3">
                  <c:v>-2.1431000001030043E-2</c:v>
                </c:pt>
                <c:pt idx="4">
                  <c:v>-1.9346999994013458E-2</c:v>
                </c:pt>
                <c:pt idx="5">
                  <c:v>-1.7824999995355029E-2</c:v>
                </c:pt>
                <c:pt idx="6">
                  <c:v>-2.0227000000886619E-2</c:v>
                </c:pt>
                <c:pt idx="7">
                  <c:v>-1.6468999994685873E-2</c:v>
                </c:pt>
                <c:pt idx="8">
                  <c:v>-1.4178000208630692E-2</c:v>
                </c:pt>
                <c:pt idx="9">
                  <c:v>-1.3300000042363536E-2</c:v>
                </c:pt>
                <c:pt idx="10">
                  <c:v>-1.3271999829157721E-2</c:v>
                </c:pt>
                <c:pt idx="11">
                  <c:v>-1.2806000006094109E-2</c:v>
                </c:pt>
                <c:pt idx="12">
                  <c:v>-1.2541000061901286E-2</c:v>
                </c:pt>
                <c:pt idx="13">
                  <c:v>-1.2145000000600703E-2</c:v>
                </c:pt>
                <c:pt idx="15">
                  <c:v>-8.4349999960977584E-3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C0-459C-954D-F5B362192A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C0-459C-954D-F5B362192A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C0-459C-954D-F5B362192A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1'!$F$21:$F$320</c:f>
              <c:numCache>
                <c:formatCode>General</c:formatCode>
                <c:ptCount val="300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C0-459C-954D-F5B362192A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-4.9667745763097175E-2</c:v>
                </c:pt>
                <c:pt idx="1">
                  <c:v>-2.5932824397330124E-2</c:v>
                </c:pt>
                <c:pt idx="2">
                  <c:v>-1.9899646061339059E-2</c:v>
                </c:pt>
                <c:pt idx="3">
                  <c:v>-1.9852289873458436E-2</c:v>
                </c:pt>
                <c:pt idx="4">
                  <c:v>-1.8639971463714548E-2</c:v>
                </c:pt>
                <c:pt idx="5">
                  <c:v>-1.7370825628513914E-2</c:v>
                </c:pt>
                <c:pt idx="6">
                  <c:v>-1.7313998203057172E-2</c:v>
                </c:pt>
                <c:pt idx="7">
                  <c:v>-1.6120622268465532E-2</c:v>
                </c:pt>
                <c:pt idx="8">
                  <c:v>-1.235106971316813E-2</c:v>
                </c:pt>
                <c:pt idx="9">
                  <c:v>-1.235106971316813E-2</c:v>
                </c:pt>
                <c:pt idx="10">
                  <c:v>-1.235106971316813E-2</c:v>
                </c:pt>
                <c:pt idx="11">
                  <c:v>-1.235106971316813E-2</c:v>
                </c:pt>
                <c:pt idx="12">
                  <c:v>-1.1233463679185483E-2</c:v>
                </c:pt>
                <c:pt idx="13">
                  <c:v>-1.1119808828271993E-2</c:v>
                </c:pt>
                <c:pt idx="14">
                  <c:v>-1.0977740264630132E-2</c:v>
                </c:pt>
                <c:pt idx="15">
                  <c:v>-7.0471766705386199E-3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BA-4366-AD1F-0DD6E19848E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BA-4366-AD1F-0DD6E198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8800"/>
        <c:axId val="1"/>
      </c:scatterChart>
      <c:valAx>
        <c:axId val="93554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8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50324478670936"/>
          <c:y val="0.91838756004556032"/>
          <c:w val="0.52685337409746857"/>
          <c:h val="5.64552072500371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UMa - Prim. O-C Diagr.</a:t>
            </a:r>
          </a:p>
        </c:rich>
      </c:tx>
      <c:layout>
        <c:manualLayout>
          <c:xMode val="edge"/>
          <c:yMode val="edge"/>
          <c:x val="0.2785864968542133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4375"/>
          <c:w val="0.76299453753830881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</c:f>
              <c:numCache>
                <c:formatCode>General</c:formatCode>
                <c:ptCount val="282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1'!$R$21:$R$302</c:f>
              <c:numCache>
                <c:formatCode>General</c:formatCode>
                <c:ptCount val="282"/>
                <c:pt idx="0">
                  <c:v>-1.2554999993881211E-2</c:v>
                </c:pt>
                <c:pt idx="1">
                  <c:v>-2.3036999999021646E-2</c:v>
                </c:pt>
                <c:pt idx="3">
                  <c:v>-2.1431000001030043E-2</c:v>
                </c:pt>
                <c:pt idx="4">
                  <c:v>-1.9346999994013458E-2</c:v>
                </c:pt>
                <c:pt idx="5">
                  <c:v>-1.7824999995355029E-2</c:v>
                </c:pt>
                <c:pt idx="6">
                  <c:v>-2.0227000000886619E-2</c:v>
                </c:pt>
                <c:pt idx="7">
                  <c:v>-1.6468999994685873E-2</c:v>
                </c:pt>
                <c:pt idx="8">
                  <c:v>-1.4178000208630692E-2</c:v>
                </c:pt>
                <c:pt idx="9">
                  <c:v>-1.3300000042363536E-2</c:v>
                </c:pt>
                <c:pt idx="10">
                  <c:v>-1.3271999829157721E-2</c:v>
                </c:pt>
                <c:pt idx="11">
                  <c:v>-1.2806000006094109E-2</c:v>
                </c:pt>
                <c:pt idx="12">
                  <c:v>-1.2541000061901286E-2</c:v>
                </c:pt>
                <c:pt idx="13">
                  <c:v>-1.2145000000600703E-2</c:v>
                </c:pt>
                <c:pt idx="14">
                  <c:v>0</c:v>
                </c:pt>
                <c:pt idx="15">
                  <c:v>-8.4349999960977584E-3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E-4F69-B507-B1717F1720CF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</c:f>
              <c:numCache>
                <c:formatCode>General</c:formatCode>
                <c:ptCount val="12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</c:numCache>
            </c:numRef>
          </c:xVal>
          <c:yVal>
            <c:numRef>
              <c:f>'Active 1'!$O$21:$O$32</c:f>
              <c:numCache>
                <c:formatCode>General</c:formatCode>
                <c:ptCount val="12"/>
                <c:pt idx="0">
                  <c:v>-4.9667745763097175E-2</c:v>
                </c:pt>
                <c:pt idx="1">
                  <c:v>-2.5932824397330124E-2</c:v>
                </c:pt>
                <c:pt idx="2">
                  <c:v>-1.9899646061339059E-2</c:v>
                </c:pt>
                <c:pt idx="3">
                  <c:v>-1.9852289873458436E-2</c:v>
                </c:pt>
                <c:pt idx="4">
                  <c:v>-1.8639971463714548E-2</c:v>
                </c:pt>
                <c:pt idx="5">
                  <c:v>-1.7370825628513914E-2</c:v>
                </c:pt>
                <c:pt idx="6">
                  <c:v>-1.7313998203057172E-2</c:v>
                </c:pt>
                <c:pt idx="7">
                  <c:v>-1.6120622268465532E-2</c:v>
                </c:pt>
                <c:pt idx="8">
                  <c:v>-1.235106971316813E-2</c:v>
                </c:pt>
                <c:pt idx="9">
                  <c:v>-1.235106971316813E-2</c:v>
                </c:pt>
                <c:pt idx="10">
                  <c:v>-1.235106971316813E-2</c:v>
                </c:pt>
                <c:pt idx="11">
                  <c:v>-1.235106971316813E-2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E-4F69-B507-B1717F17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6176"/>
        <c:axId val="1"/>
      </c:scatterChart>
      <c:valAx>
        <c:axId val="93554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6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08983362526667"/>
          <c:y val="0.91249999999999998"/>
          <c:w val="0.3056135238812404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UMa - Sec. O-C Diagr.</a:t>
            </a:r>
          </a:p>
        </c:rich>
      </c:tx>
      <c:layout>
        <c:manualLayout>
          <c:xMode val="edge"/>
          <c:yMode val="edge"/>
          <c:x val="0.285714612406122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59201569676309"/>
          <c:y val="0.234375"/>
          <c:w val="0.7632660667112430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1'!$F$21:$F$302</c:f>
              <c:numCache>
                <c:formatCode>General</c:formatCode>
                <c:ptCount val="282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  <c:pt idx="12">
                  <c:v>-13.5</c:v>
                </c:pt>
                <c:pt idx="13">
                  <c:v>-7.5</c:v>
                </c:pt>
                <c:pt idx="14">
                  <c:v>0</c:v>
                </c:pt>
                <c:pt idx="15">
                  <c:v>207.5</c:v>
                </c:pt>
              </c:numCache>
            </c:numRef>
          </c:xVal>
          <c:yVal>
            <c:numRef>
              <c:f>'Active 1'!$S$21:$S$302</c:f>
              <c:numCache>
                <c:formatCode>General</c:formatCode>
                <c:ptCount val="282"/>
                <c:pt idx="2">
                  <c:v>-6.7760000019916333E-3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3-4D39-89DF-7E46D1135E35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1'!$F$21:$F$32</c:f>
              <c:numCache>
                <c:formatCode>General</c:formatCode>
                <c:ptCount val="12"/>
                <c:pt idx="0">
                  <c:v>-2042.5</c:v>
                </c:pt>
                <c:pt idx="1">
                  <c:v>-789.5</c:v>
                </c:pt>
                <c:pt idx="2">
                  <c:v>-471</c:v>
                </c:pt>
                <c:pt idx="3">
                  <c:v>-468.5</c:v>
                </c:pt>
                <c:pt idx="4">
                  <c:v>-404.5</c:v>
                </c:pt>
                <c:pt idx="5">
                  <c:v>-337.5</c:v>
                </c:pt>
                <c:pt idx="6">
                  <c:v>-334.5</c:v>
                </c:pt>
                <c:pt idx="7">
                  <c:v>-271.5</c:v>
                </c:pt>
                <c:pt idx="8">
                  <c:v>-72.5</c:v>
                </c:pt>
                <c:pt idx="9">
                  <c:v>-72.5</c:v>
                </c:pt>
                <c:pt idx="10">
                  <c:v>-72.5</c:v>
                </c:pt>
                <c:pt idx="11">
                  <c:v>-72.5</c:v>
                </c:pt>
              </c:numCache>
            </c:numRef>
          </c:xVal>
          <c:yVal>
            <c:numRef>
              <c:f>'Active 1'!$P$21:$P$32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3-4D39-89DF-7E46D1135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3224"/>
        <c:axId val="1"/>
      </c:scatterChart>
      <c:valAx>
        <c:axId val="93554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3198981315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60435019879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3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67381305059639"/>
          <c:y val="0.91249999999999998"/>
          <c:w val="0.3326533094254307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0</xdr:row>
      <xdr:rowOff>66675</xdr:rowOff>
    </xdr:from>
    <xdr:to>
      <xdr:col>19</xdr:col>
      <xdr:colOff>371474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1186B4E-C94F-BD5E-0705-F06C06E16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19049</xdr:rowOff>
    </xdr:from>
    <xdr:to>
      <xdr:col>12</xdr:col>
      <xdr:colOff>504825</xdr:colOff>
      <xdr:row>20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62A2B-1F0A-4506-9066-98C011F53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57150</xdr:rowOff>
    </xdr:from>
    <xdr:to>
      <xdr:col>12</xdr:col>
      <xdr:colOff>485775</xdr:colOff>
      <xdr:row>40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A3673DC-8EDD-AA04-7B24-7B4742DB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3.28515625" style="1" customWidth="1"/>
    <col min="4" max="4" width="10.5703125" style="1" customWidth="1"/>
    <col min="5" max="5" width="12.5703125" style="1" customWidth="1"/>
    <col min="6" max="6" width="16.85546875" style="1" customWidth="1"/>
    <col min="7" max="7" width="9" style="1" customWidth="1"/>
    <col min="8" max="14" width="8.5703125" style="1" customWidth="1"/>
    <col min="15" max="15" width="8" style="1" customWidth="1"/>
    <col min="16" max="17" width="9.85546875" style="1" customWidth="1"/>
    <col min="18" max="16384" width="10.28515625" style="1"/>
  </cols>
  <sheetData>
    <row r="1" spans="1:6" s="8" customFormat="1" ht="20.25" x14ac:dyDescent="0.2">
      <c r="A1" s="39" t="s">
        <v>0</v>
      </c>
      <c r="E1" s="2"/>
      <c r="F1" s="2"/>
    </row>
    <row r="2" spans="1:6" s="8" customFormat="1" ht="12.75" customHeight="1" x14ac:dyDescent="0.2">
      <c r="A2" s="8" t="s">
        <v>1</v>
      </c>
      <c r="B2" s="8" t="s">
        <v>2</v>
      </c>
      <c r="C2" s="9" t="s">
        <v>3</v>
      </c>
      <c r="D2" s="8" t="s">
        <v>4</v>
      </c>
    </row>
    <row r="3" spans="1:6" s="8" customFormat="1" ht="12.75" customHeight="1" x14ac:dyDescent="0.2"/>
    <row r="4" spans="1:6" s="8" customFormat="1" ht="12.75" customHeight="1" x14ac:dyDescent="0.2">
      <c r="A4" s="10" t="s">
        <v>5</v>
      </c>
      <c r="C4" s="11">
        <v>48058.296000000002</v>
      </c>
      <c r="D4" s="12">
        <v>5.5076200000000002</v>
      </c>
    </row>
    <row r="5" spans="1:6" s="8" customFormat="1" ht="12.75" customHeight="1" x14ac:dyDescent="0.2">
      <c r="A5" s="10" t="s">
        <v>6</v>
      </c>
      <c r="C5" s="13">
        <v>-9.5</v>
      </c>
      <c r="D5" s="8" t="s">
        <v>7</v>
      </c>
    </row>
    <row r="6" spans="1:6" s="8" customFormat="1" ht="12.75" customHeight="1" x14ac:dyDescent="0.2">
      <c r="A6" s="14" t="s">
        <v>8</v>
      </c>
    </row>
    <row r="7" spans="1:6" s="8" customFormat="1" ht="12.75" customHeight="1" x14ac:dyDescent="0.2">
      <c r="A7" s="8" t="s">
        <v>9</v>
      </c>
      <c r="C7" s="8">
        <v>59307.650999999998</v>
      </c>
      <c r="D7" s="8" t="s">
        <v>62</v>
      </c>
    </row>
    <row r="8" spans="1:6" s="8" customFormat="1" ht="12.75" customHeight="1" x14ac:dyDescent="0.2">
      <c r="A8" s="8" t="s">
        <v>10</v>
      </c>
      <c r="C8" s="8">
        <v>5.5076340000000004</v>
      </c>
      <c r="D8" s="8" t="s">
        <v>62</v>
      </c>
    </row>
    <row r="9" spans="1:6" s="8" customFormat="1" ht="12.75" customHeight="1" x14ac:dyDescent="0.2">
      <c r="A9" s="2" t="s">
        <v>11</v>
      </c>
      <c r="B9" s="2"/>
      <c r="C9" s="15">
        <v>22</v>
      </c>
      <c r="D9" s="15">
        <v>21</v>
      </c>
    </row>
    <row r="10" spans="1:6" s="8" customFormat="1" ht="12.75" customHeight="1" x14ac:dyDescent="0.2">
      <c r="C10" s="16" t="s">
        <v>12</v>
      </c>
      <c r="D10" s="16" t="s">
        <v>13</v>
      </c>
      <c r="E10" s="47" t="s">
        <v>58</v>
      </c>
      <c r="F10" s="48" t="s">
        <v>61</v>
      </c>
    </row>
    <row r="11" spans="1:6" s="8" customFormat="1" ht="12.75" customHeight="1" x14ac:dyDescent="0.2">
      <c r="A11" s="8" t="s">
        <v>14</v>
      </c>
      <c r="C11" s="17">
        <f ca="1">INTERCEPT(INDIRECT(C14):R$935,INDIRECT(C13):$F$935)</f>
        <v>-1.0977740264630132E-2</v>
      </c>
      <c r="D11" s="17" t="e">
        <f ca="1">INTERCEPT(INDIRECT(D14):S$935,INDIRECT(D13):$F$935)</f>
        <v>#DIV/0!</v>
      </c>
      <c r="E11" s="45" t="s">
        <v>15</v>
      </c>
      <c r="F11" s="49">
        <v>1</v>
      </c>
    </row>
    <row r="12" spans="1:6" s="8" customFormat="1" ht="12.75" customHeight="1" x14ac:dyDescent="0.2">
      <c r="A12" s="8" t="s">
        <v>16</v>
      </c>
      <c r="C12" s="17">
        <f ca="1">SLOPE(INDIRECT(C14):R$935,INDIRECT(C13):$F$935)</f>
        <v>1.8942475152248248E-5</v>
      </c>
      <c r="D12" s="17" t="e">
        <f ca="1">SLOPE(INDIRECT(D14):S$935,INDIRECT(D13):$F$935)</f>
        <v>#DIV/0!</v>
      </c>
      <c r="E12" s="45" t="s">
        <v>17</v>
      </c>
      <c r="F12" s="50">
        <f ca="1">NOW()+15018.5+$C$5/24</f>
        <v>60685.729471527775</v>
      </c>
    </row>
    <row r="13" spans="1:6" s="8" customFormat="1" ht="12.75" customHeight="1" x14ac:dyDescent="0.2">
      <c r="A13" s="2" t="s">
        <v>18</v>
      </c>
      <c r="B13" s="2"/>
      <c r="C13" s="15" t="str">
        <f>"F"&amp;C9</f>
        <v>F22</v>
      </c>
      <c r="D13" s="15" t="str">
        <f>"F"&amp;D9</f>
        <v>F21</v>
      </c>
      <c r="E13" s="45" t="s">
        <v>19</v>
      </c>
      <c r="F13" s="50">
        <f ca="1">ROUND(2*($F$12-$C$7)/$C$8,0)/2+$F$11</f>
        <v>251</v>
      </c>
    </row>
    <row r="14" spans="1:6" s="8" customFormat="1" ht="12.75" customHeight="1" x14ac:dyDescent="0.2">
      <c r="A14" s="2" t="s">
        <v>20</v>
      </c>
      <c r="B14" s="2"/>
      <c r="C14" s="15" t="str">
        <f>"R"&amp;C9</f>
        <v>R22</v>
      </c>
      <c r="D14" s="15" t="str">
        <f>"S"&amp;D9</f>
        <v>S21</v>
      </c>
      <c r="E14" s="45" t="s">
        <v>21</v>
      </c>
      <c r="F14" s="50">
        <f ca="1">ROUND(2*($F$12-$C$15)/$C$16,0)/2+$F$11</f>
        <v>44</v>
      </c>
    </row>
    <row r="15" spans="1:6" s="8" customFormat="1" ht="12.75" customHeight="1" x14ac:dyDescent="0.2">
      <c r="A15" s="14" t="s">
        <v>22</v>
      </c>
      <c r="C15" s="18">
        <f ca="1">($C7+C11)+($C8+C12)*INT(MAX($F21:$F3533))</f>
        <v>60447.724181352096</v>
      </c>
      <c r="D15" s="18" t="e">
        <f ca="1">($C7+D11)+($C8+D12)*INT(MAX($F21:$F3533))</f>
        <v>#DIV/0!</v>
      </c>
      <c r="E15" s="45" t="s">
        <v>59</v>
      </c>
      <c r="F15" s="51">
        <f ca="1">+$C$15+$C$16*$F$14-15018.5-$C$5/24</f>
        <v>45671.95674415434</v>
      </c>
    </row>
    <row r="16" spans="1:6" s="8" customFormat="1" ht="12.75" customHeight="1" x14ac:dyDescent="0.2">
      <c r="A16" s="14" t="s">
        <v>23</v>
      </c>
      <c r="C16" s="18">
        <f ca="1">+$C8+C12</f>
        <v>5.5076529424751524</v>
      </c>
      <c r="D16" s="17" t="e">
        <f ca="1">+$C8+D12</f>
        <v>#DIV/0!</v>
      </c>
      <c r="E16" s="46" t="s">
        <v>60</v>
      </c>
      <c r="F16" s="52" t="e">
        <f ca="1">+($D$15+$D$16*$F$14)-($D$16/2)-15018.5-$C$5/24</f>
        <v>#DIV/0!</v>
      </c>
    </row>
    <row r="17" spans="1:19" s="8" customFormat="1" ht="12.75" customHeight="1" x14ac:dyDescent="0.2">
      <c r="A17" s="2" t="s">
        <v>24</v>
      </c>
      <c r="C17" s="8">
        <f>COUNT(C21:C1247)</f>
        <v>16</v>
      </c>
    </row>
    <row r="18" spans="1:19" s="8" customFormat="1" ht="12.75" customHeight="1" x14ac:dyDescent="0.2">
      <c r="A18" s="14" t="s">
        <v>25</v>
      </c>
      <c r="C18" s="19">
        <f ca="1">+C15</f>
        <v>60447.724181352096</v>
      </c>
      <c r="D18" s="20">
        <f ca="1">+C16</f>
        <v>5.5076529424751524</v>
      </c>
      <c r="E18" s="21">
        <f>R19</f>
        <v>15</v>
      </c>
    </row>
    <row r="19" spans="1:19" s="8" customFormat="1" ht="12.75" customHeight="1" x14ac:dyDescent="0.2">
      <c r="A19" s="14" t="s">
        <v>26</v>
      </c>
      <c r="C19" s="22">
        <v>56713.548609999998</v>
      </c>
      <c r="D19" s="23">
        <v>5.5076288237792417</v>
      </c>
      <c r="E19" s="21">
        <f>S19</f>
        <v>1</v>
      </c>
      <c r="R19" s="8">
        <f>COUNT(R21:R322)</f>
        <v>15</v>
      </c>
      <c r="S19" s="8">
        <f>COUNT(S21:S322)</f>
        <v>1</v>
      </c>
    </row>
    <row r="20" spans="1:19" s="8" customFormat="1" ht="12.75" customHeight="1" x14ac:dyDescent="0.2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4" t="s">
        <v>34</v>
      </c>
      <c r="I20" s="24" t="s">
        <v>62</v>
      </c>
      <c r="J20" s="24" t="s">
        <v>35</v>
      </c>
      <c r="K20" s="24" t="s">
        <v>36</v>
      </c>
      <c r="L20" s="24" t="s">
        <v>37</v>
      </c>
      <c r="M20" s="24" t="s">
        <v>38</v>
      </c>
      <c r="N20" s="24" t="s">
        <v>39</v>
      </c>
      <c r="O20" s="24" t="s">
        <v>40</v>
      </c>
      <c r="P20" s="24" t="s">
        <v>41</v>
      </c>
      <c r="Q20" s="16" t="s">
        <v>42</v>
      </c>
      <c r="R20" s="24" t="s">
        <v>12</v>
      </c>
      <c r="S20" s="24" t="s">
        <v>13</v>
      </c>
    </row>
    <row r="21" spans="1:19" s="8" customFormat="1" ht="12.75" customHeight="1" x14ac:dyDescent="0.2">
      <c r="A21" s="8" t="s">
        <v>43</v>
      </c>
      <c r="C21" s="9">
        <v>48058.296000000002</v>
      </c>
      <c r="D21" s="9" t="s">
        <v>44</v>
      </c>
      <c r="E21" s="8">
        <f>+(C21-C$7)/C$8</f>
        <v>-2042.5022795632381</v>
      </c>
      <c r="F21" s="8">
        <f>ROUND(2*E21,0)/2</f>
        <v>-2042.5</v>
      </c>
      <c r="G21" s="8">
        <f>+C21-(C$7+F21*C$8)</f>
        <v>-1.2554999993881211E-2</v>
      </c>
      <c r="H21" s="8">
        <f>+G21</f>
        <v>-1.2554999993881211E-2</v>
      </c>
      <c r="O21" s="8">
        <f ca="1">+C$11+C$12*$F21</f>
        <v>-4.9667745763097175E-2</v>
      </c>
      <c r="Q21" s="25">
        <f>+C21-15018.5</f>
        <v>33039.796000000002</v>
      </c>
      <c r="R21" s="8">
        <f>G21</f>
        <v>-1.2554999993881211E-2</v>
      </c>
    </row>
    <row r="22" spans="1:19" s="8" customFormat="1" ht="12.75" customHeight="1" x14ac:dyDescent="0.2">
      <c r="A22" s="26" t="s">
        <v>45</v>
      </c>
      <c r="B22" s="27" t="s">
        <v>46</v>
      </c>
      <c r="C22" s="28">
        <v>54959.350919999997</v>
      </c>
      <c r="D22" s="28">
        <v>1E-4</v>
      </c>
      <c r="E22" s="8">
        <f>+(C22-C$7)/C$8</f>
        <v>-789.50418273981177</v>
      </c>
      <c r="F22" s="8">
        <f>ROUND(2*E22,0)/2</f>
        <v>-789.5</v>
      </c>
      <c r="G22" s="8">
        <f>+C22-(C$7+F22*C$8)</f>
        <v>-2.3036999999021646E-2</v>
      </c>
      <c r="K22" s="8">
        <f>+G22</f>
        <v>-2.3036999999021646E-2</v>
      </c>
      <c r="O22" s="8">
        <f ca="1">+C$11+C$12*$F22</f>
        <v>-2.5932824397330124E-2</v>
      </c>
      <c r="Q22" s="25">
        <f>+C22-15018.5</f>
        <v>39940.850919999997</v>
      </c>
      <c r="R22" s="8">
        <f>G22</f>
        <v>-2.3036999999021646E-2</v>
      </c>
    </row>
    <row r="23" spans="1:19" s="8" customFormat="1" ht="12.75" customHeight="1" x14ac:dyDescent="0.2">
      <c r="A23" s="28" t="s">
        <v>47</v>
      </c>
      <c r="B23" s="27" t="s">
        <v>48</v>
      </c>
      <c r="C23" s="28">
        <v>56713.548609999998</v>
      </c>
      <c r="D23" s="28">
        <v>2.7E-4</v>
      </c>
      <c r="E23" s="26">
        <f>+(C23-C$7)/C$8</f>
        <v>-471.00123029235419</v>
      </c>
      <c r="F23" s="8">
        <f>ROUND(2*E23,0)/2</f>
        <v>-471</v>
      </c>
      <c r="G23" s="8">
        <f>+C23-(C$7+F23*C$8)</f>
        <v>-6.7760000019916333E-3</v>
      </c>
      <c r="K23" s="8">
        <f>+G23</f>
        <v>-6.7760000019916333E-3</v>
      </c>
      <c r="O23" s="8">
        <f ca="1">+C$11+C$12*$F23</f>
        <v>-1.9899646061339059E-2</v>
      </c>
      <c r="Q23" s="25">
        <f>+C23-15018.5</f>
        <v>41695.048609999998</v>
      </c>
      <c r="S23" s="8">
        <f>G23</f>
        <v>-6.7760000019916333E-3</v>
      </c>
    </row>
    <row r="24" spans="1:19" s="8" customFormat="1" ht="12.75" customHeight="1" x14ac:dyDescent="0.2">
      <c r="A24" s="28" t="s">
        <v>47</v>
      </c>
      <c r="B24" s="27" t="s">
        <v>46</v>
      </c>
      <c r="C24" s="28">
        <v>56727.303039999999</v>
      </c>
      <c r="D24" s="28">
        <v>2.0000000000000001E-4</v>
      </c>
      <c r="E24" s="26">
        <f>+(C24-C$7)/C$8</f>
        <v>-468.50389114454572</v>
      </c>
      <c r="F24" s="8">
        <f>ROUND(2*E24,0)/2</f>
        <v>-468.5</v>
      </c>
      <c r="G24" s="8">
        <f>+C24-(C$7+F24*C$8)</f>
        <v>-2.1431000001030043E-2</v>
      </c>
      <c r="K24" s="8">
        <f>+G24</f>
        <v>-2.1431000001030043E-2</v>
      </c>
      <c r="O24" s="8">
        <f ca="1">+C$11+C$12*$F24</f>
        <v>-1.9852289873458436E-2</v>
      </c>
      <c r="Q24" s="25">
        <f>+C24-15018.5</f>
        <v>41708.803039999999</v>
      </c>
      <c r="R24" s="8">
        <f>G24</f>
        <v>-2.1431000001030043E-2</v>
      </c>
    </row>
    <row r="25" spans="1:19" s="8" customFormat="1" ht="12.75" customHeight="1" x14ac:dyDescent="0.2">
      <c r="A25" s="29" t="s">
        <v>49</v>
      </c>
      <c r="B25" s="26"/>
      <c r="C25" s="28">
        <v>57079.793700000002</v>
      </c>
      <c r="D25" s="28">
        <v>3.0000000000000001E-3</v>
      </c>
      <c r="E25" s="26">
        <f>+(C25-C$7)/C$8</f>
        <v>-404.50351276065112</v>
      </c>
      <c r="F25" s="8">
        <f>ROUND(2*E25,0)/2</f>
        <v>-404.5</v>
      </c>
      <c r="G25" s="8">
        <f>+C25-(C$7+F25*C$8)</f>
        <v>-1.9346999994013458E-2</v>
      </c>
      <c r="K25" s="8">
        <f>+G25</f>
        <v>-1.9346999994013458E-2</v>
      </c>
      <c r="O25" s="8">
        <f ca="1">+C$11+C$12*$F25</f>
        <v>-1.8639971463714548E-2</v>
      </c>
      <c r="Q25" s="25">
        <f>+C25-15018.5</f>
        <v>42061.293700000002</v>
      </c>
      <c r="R25" s="8">
        <f>G25</f>
        <v>-1.9346999994013458E-2</v>
      </c>
    </row>
    <row r="26" spans="1:19" s="8" customFormat="1" ht="12.75" customHeight="1" x14ac:dyDescent="0.2">
      <c r="A26" s="29" t="s">
        <v>50</v>
      </c>
      <c r="B26" s="27"/>
      <c r="C26" s="28">
        <v>57448.806700000001</v>
      </c>
      <c r="D26" s="28">
        <v>2.9999999999999997E-4</v>
      </c>
      <c r="E26" s="26">
        <f>+(C26-C$7)/C$8</f>
        <v>-337.50323641694365</v>
      </c>
      <c r="F26" s="8">
        <f>ROUND(2*E26,0)/2</f>
        <v>-337.5</v>
      </c>
      <c r="G26" s="8">
        <f>+C26-(C$7+F26*C$8)</f>
        <v>-1.7824999995355029E-2</v>
      </c>
      <c r="K26" s="8">
        <f>+G26</f>
        <v>-1.7824999995355029E-2</v>
      </c>
      <c r="O26" s="8">
        <f ca="1">+C$11+C$12*$F26</f>
        <v>-1.7370825628513914E-2</v>
      </c>
      <c r="Q26" s="25">
        <f>+C26-15018.5</f>
        <v>42430.306700000001</v>
      </c>
      <c r="R26" s="8">
        <f>G26</f>
        <v>-1.7824999995355029E-2</v>
      </c>
    </row>
    <row r="27" spans="1:19" s="8" customFormat="1" ht="12.75" customHeight="1" x14ac:dyDescent="0.2">
      <c r="A27" s="30" t="s">
        <v>51</v>
      </c>
      <c r="B27" s="31" t="s">
        <v>46</v>
      </c>
      <c r="C27" s="32">
        <v>57465.3272</v>
      </c>
      <c r="D27" s="32">
        <v>6.9999999999999999E-4</v>
      </c>
      <c r="E27" s="26">
        <f>+(C27-C$7)/C$8</f>
        <v>-334.50367253887936</v>
      </c>
      <c r="F27" s="8">
        <f>ROUND(2*E27,0)/2</f>
        <v>-334.5</v>
      </c>
      <c r="G27" s="8">
        <f>+C27-(C$7+F27*C$8)</f>
        <v>-2.0227000000886619E-2</v>
      </c>
      <c r="K27" s="8">
        <f>+G27</f>
        <v>-2.0227000000886619E-2</v>
      </c>
      <c r="O27" s="8">
        <f ca="1">+C$11+C$12*$F27</f>
        <v>-1.7313998203057172E-2</v>
      </c>
      <c r="Q27" s="25">
        <f>+C27-15018.5</f>
        <v>42446.8272</v>
      </c>
      <c r="R27" s="8">
        <f>G27</f>
        <v>-2.0227000000886619E-2</v>
      </c>
    </row>
    <row r="28" spans="1:19" s="8" customFormat="1" ht="12.75" customHeight="1" x14ac:dyDescent="0.2">
      <c r="A28" s="33" t="s">
        <v>52</v>
      </c>
      <c r="B28" s="34" t="s">
        <v>46</v>
      </c>
      <c r="C28" s="35">
        <v>57812.311900000001</v>
      </c>
      <c r="D28" s="35">
        <v>1.9E-3</v>
      </c>
      <c r="E28" s="26">
        <f>+(C28-C$7)/C$8</f>
        <v>-271.5029902132199</v>
      </c>
      <c r="F28" s="8">
        <f>ROUND(2*E28,0)/2</f>
        <v>-271.5</v>
      </c>
      <c r="G28" s="8">
        <f>+C28-(C$7+F28*C$8)</f>
        <v>-1.6468999994685873E-2</v>
      </c>
      <c r="K28" s="8">
        <f>+G28</f>
        <v>-1.6468999994685873E-2</v>
      </c>
      <c r="O28" s="8">
        <f ca="1">+C$11+C$12*$F28</f>
        <v>-1.6120622268465532E-2</v>
      </c>
      <c r="Q28" s="25">
        <f>+C28-15018.5</f>
        <v>42793.811900000001</v>
      </c>
      <c r="R28" s="8">
        <f>G28</f>
        <v>-1.6468999994685873E-2</v>
      </c>
    </row>
    <row r="29" spans="1:19" s="8" customFormat="1" ht="12.75" customHeight="1" x14ac:dyDescent="0.2">
      <c r="A29" s="36" t="s">
        <v>53</v>
      </c>
      <c r="B29" s="37" t="s">
        <v>46</v>
      </c>
      <c r="C29" s="38">
        <v>58908.333356999792</v>
      </c>
      <c r="D29" s="38">
        <v>7.5799999999999999E-4</v>
      </c>
      <c r="E29" s="26">
        <f>+(C29-C$7)/C$8</f>
        <v>-72.502574245166954</v>
      </c>
      <c r="F29" s="8">
        <f>ROUND(2*E29,0)/2</f>
        <v>-72.5</v>
      </c>
      <c r="G29" s="8">
        <f>+C29-(C$7+F29*C$8)</f>
        <v>-1.4178000208630692E-2</v>
      </c>
      <c r="K29" s="8">
        <f>+G29</f>
        <v>-1.4178000208630692E-2</v>
      </c>
      <c r="O29" s="8">
        <f ca="1">+C$11+C$12*$F29</f>
        <v>-1.235106971316813E-2</v>
      </c>
      <c r="Q29" s="25">
        <f>+C29-15018.5</f>
        <v>43889.833356999792</v>
      </c>
      <c r="R29" s="8">
        <f>G29</f>
        <v>-1.4178000208630692E-2</v>
      </c>
    </row>
    <row r="30" spans="1:19" s="8" customFormat="1" ht="12.75" customHeight="1" x14ac:dyDescent="0.2">
      <c r="A30" s="36" t="s">
        <v>53</v>
      </c>
      <c r="B30" s="37" t="s">
        <v>46</v>
      </c>
      <c r="C30" s="38">
        <v>58908.334234999958</v>
      </c>
      <c r="D30" s="38">
        <v>6.0999999999999997E-4</v>
      </c>
      <c r="E30" s="26">
        <f>+(C30-C$7)/C$8</f>
        <v>-72.502414830041275</v>
      </c>
      <c r="F30" s="8">
        <f>ROUND(2*E30,0)/2</f>
        <v>-72.5</v>
      </c>
      <c r="G30" s="8">
        <f>+C30-(C$7+F30*C$8)</f>
        <v>-1.3300000042363536E-2</v>
      </c>
      <c r="K30" s="8">
        <f>+G30</f>
        <v>-1.3300000042363536E-2</v>
      </c>
      <c r="O30" s="8">
        <f ca="1">+C$11+C$12*$F30</f>
        <v>-1.235106971316813E-2</v>
      </c>
      <c r="Q30" s="25">
        <f>+C30-15018.5</f>
        <v>43889.834234999958</v>
      </c>
      <c r="R30" s="8">
        <f>G30</f>
        <v>-1.3300000042363536E-2</v>
      </c>
    </row>
    <row r="31" spans="1:19" s="8" customFormat="1" ht="12.75" customHeight="1" x14ac:dyDescent="0.2">
      <c r="A31" s="36" t="s">
        <v>53</v>
      </c>
      <c r="B31" s="37" t="s">
        <v>46</v>
      </c>
      <c r="C31" s="38">
        <v>58908.334263000172</v>
      </c>
      <c r="D31" s="38">
        <v>8.3600000000000005E-4</v>
      </c>
      <c r="E31" s="26">
        <f>+(C31-C$7)/C$8</f>
        <v>-72.502409746149866</v>
      </c>
      <c r="F31" s="8">
        <f>ROUND(2*E31,0)/2</f>
        <v>-72.5</v>
      </c>
      <c r="G31" s="8">
        <f>+C31-(C$7+F31*C$8)</f>
        <v>-1.3271999829157721E-2</v>
      </c>
      <c r="K31" s="8">
        <f>+G31</f>
        <v>-1.3271999829157721E-2</v>
      </c>
      <c r="O31" s="8">
        <f ca="1">+C$11+C$12*$F31</f>
        <v>-1.235106971316813E-2</v>
      </c>
      <c r="Q31" s="25">
        <f>+C31-15018.5</f>
        <v>43889.834263000172</v>
      </c>
      <c r="R31" s="8">
        <f>G31</f>
        <v>-1.3271999829157721E-2</v>
      </c>
    </row>
    <row r="32" spans="1:19" s="8" customFormat="1" ht="12.75" customHeight="1" x14ac:dyDescent="0.2">
      <c r="A32" s="36" t="s">
        <v>53</v>
      </c>
      <c r="B32" s="37" t="s">
        <v>46</v>
      </c>
      <c r="C32" s="38">
        <v>58908.334728999995</v>
      </c>
      <c r="D32" s="38">
        <v>9.1299999999999997E-4</v>
      </c>
      <c r="E32" s="26">
        <f>+(C32-C$7)/C$8</f>
        <v>-72.502325136347707</v>
      </c>
      <c r="F32" s="8">
        <f>ROUND(2*E32,0)/2</f>
        <v>-72.5</v>
      </c>
      <c r="G32" s="8">
        <f>+C32-(C$7+F32*C$8)</f>
        <v>-1.2806000006094109E-2</v>
      </c>
      <c r="K32" s="8">
        <f>+G32</f>
        <v>-1.2806000006094109E-2</v>
      </c>
      <c r="O32" s="8">
        <f ca="1">+C$11+C$12*$F32</f>
        <v>-1.235106971316813E-2</v>
      </c>
      <c r="Q32" s="25">
        <f>+C32-15018.5</f>
        <v>43889.834728999995</v>
      </c>
      <c r="R32" s="8">
        <f>G32</f>
        <v>-1.2806000006094109E-2</v>
      </c>
    </row>
    <row r="33" spans="1:18" s="8" customFormat="1" ht="12.75" customHeight="1" x14ac:dyDescent="0.2">
      <c r="A33" s="6" t="s">
        <v>54</v>
      </c>
      <c r="B33" s="7" t="s">
        <v>46</v>
      </c>
      <c r="C33" s="40">
        <v>59233.285399999935</v>
      </c>
      <c r="D33" s="41" t="s">
        <v>56</v>
      </c>
      <c r="E33" s="26">
        <f>+(C33-C$7)/C$8</f>
        <v>-13.502277021324009</v>
      </c>
      <c r="F33" s="8">
        <f>ROUND(2*E33,0)/2</f>
        <v>-13.5</v>
      </c>
      <c r="G33" s="8">
        <f>+C33-(C$7+F33*C$8)</f>
        <v>-1.2541000061901286E-2</v>
      </c>
      <c r="K33" s="8">
        <f>+G33</f>
        <v>-1.2541000061901286E-2</v>
      </c>
      <c r="O33" s="8">
        <f ca="1">+C$11+C$12*$F33</f>
        <v>-1.1233463679185483E-2</v>
      </c>
      <c r="Q33" s="25">
        <f>+C33-15018.5</f>
        <v>44214.785399999935</v>
      </c>
      <c r="R33" s="8">
        <f>G33</f>
        <v>-1.2541000061901286E-2</v>
      </c>
    </row>
    <row r="34" spans="1:18" x14ac:dyDescent="0.2">
      <c r="A34" s="6" t="s">
        <v>55</v>
      </c>
      <c r="B34" s="7" t="s">
        <v>46</v>
      </c>
      <c r="C34" s="40">
        <v>59266.331599999998</v>
      </c>
      <c r="D34" s="41">
        <v>2.3E-3</v>
      </c>
      <c r="E34" s="4">
        <f>+(C34-C$7)/C$8</f>
        <v>-7.5022051211101379</v>
      </c>
      <c r="F34" s="1">
        <f>ROUND(2*E34,0)/2</f>
        <v>-7.5</v>
      </c>
      <c r="G34" s="1">
        <f>+C34-(C$7+F34*C$8)</f>
        <v>-1.2145000000600703E-2</v>
      </c>
      <c r="K34" s="1">
        <f>+G34</f>
        <v>-1.2145000000600703E-2</v>
      </c>
      <c r="O34" s="1">
        <f ca="1">+C$11+C$12*$F34</f>
        <v>-1.1119808828271993E-2</v>
      </c>
      <c r="Q34" s="5">
        <f>+C34-15018.5</f>
        <v>44247.831599999998</v>
      </c>
      <c r="R34" s="1">
        <f>G34</f>
        <v>-1.2145000000600703E-2</v>
      </c>
    </row>
    <row r="35" spans="1:18" x14ac:dyDescent="0.2">
      <c r="A35" s="1" t="s">
        <v>62</v>
      </c>
      <c r="C35" s="3">
        <v>59307.650999999998</v>
      </c>
      <c r="D35" s="3"/>
      <c r="E35" s="4">
        <f>+(C35-C$7)/C$8</f>
        <v>0</v>
      </c>
      <c r="F35" s="1">
        <f>ROUND(2*E35,0)/2</f>
        <v>0</v>
      </c>
      <c r="G35" s="1">
        <f>+C35-(C$7+F35*C$8)</f>
        <v>0</v>
      </c>
      <c r="I35" s="1">
        <f>+G35</f>
        <v>0</v>
      </c>
      <c r="O35" s="1">
        <f ca="1">+C$11+C$12*$F35</f>
        <v>-1.0977740264630132E-2</v>
      </c>
      <c r="Q35" s="5">
        <f>+C35-15018.5</f>
        <v>44289.150999999998</v>
      </c>
      <c r="R35" s="1">
        <f>G35</f>
        <v>0</v>
      </c>
    </row>
    <row r="36" spans="1:18" x14ac:dyDescent="0.2">
      <c r="A36" s="42" t="s">
        <v>57</v>
      </c>
      <c r="B36" s="43" t="s">
        <v>48</v>
      </c>
      <c r="C36" s="44">
        <v>60450.476620000001</v>
      </c>
      <c r="D36" s="42">
        <v>5.0000000000000001E-4</v>
      </c>
      <c r="E36" s="4">
        <f>+(C36-C$7)/C$8</f>
        <v>207.49846848937369</v>
      </c>
      <c r="F36" s="1">
        <f>ROUND(2*E36,0)/2</f>
        <v>207.5</v>
      </c>
      <c r="G36" s="1">
        <f>+C36-(C$7+F36*C$8)</f>
        <v>-8.4349999960977584E-3</v>
      </c>
      <c r="K36" s="1">
        <f>+G36</f>
        <v>-8.4349999960977584E-3</v>
      </c>
      <c r="O36" s="1">
        <f ca="1">+C$11+C$12*$F36</f>
        <v>-7.0471766705386199E-3</v>
      </c>
      <c r="Q36" s="5">
        <f>+C36-15018.5</f>
        <v>45431.976620000001</v>
      </c>
      <c r="R36" s="1">
        <f>G36</f>
        <v>-8.4349999960977584E-3</v>
      </c>
    </row>
    <row r="37" spans="1:18" x14ac:dyDescent="0.2">
      <c r="C37" s="3"/>
      <c r="D37" s="3"/>
    </row>
    <row r="38" spans="1:18" x14ac:dyDescent="0.2">
      <c r="C38" s="3"/>
      <c r="D38" s="3"/>
    </row>
    <row r="39" spans="1:18" x14ac:dyDescent="0.2">
      <c r="C39" s="3"/>
      <c r="D39" s="3"/>
    </row>
    <row r="40" spans="1:18" x14ac:dyDescent="0.2">
      <c r="C40" s="3"/>
      <c r="D40" s="3"/>
    </row>
  </sheetData>
  <sheetProtection selectLockedCells="1" selectUnlockedCells="1"/>
  <sortState xmlns:xlrd2="http://schemas.microsoft.com/office/spreadsheetml/2017/richdata2" ref="A21:W40">
    <sortCondition ref="C21:C4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0F85-67D2-4382-B8C1-A49EEB54D513}">
  <dimension ref="A1"/>
  <sheetViews>
    <sheetView workbookViewId="0">
      <selection activeCell="Q31" sqref="Q3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2023-01-25T05:15:46Z</dcterms:created>
  <dcterms:modified xsi:type="dcterms:W3CDTF">2025-01-10T04:30:26Z</dcterms:modified>
</cp:coreProperties>
</file>