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5716DB-15FB-4930-844B-D5AFF4BF1E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4" i="1" l="1"/>
  <c r="F44" i="1" s="1"/>
  <c r="G44" i="1" s="1"/>
  <c r="K44" i="1" s="1"/>
  <c r="Q44" i="1"/>
  <c r="F14" i="1"/>
  <c r="E41" i="1"/>
  <c r="F41" i="1" s="1"/>
  <c r="G41" i="1" s="1"/>
  <c r="K41" i="1" s="1"/>
  <c r="Q41" i="1"/>
  <c r="E42" i="1"/>
  <c r="F42" i="1"/>
  <c r="G42" i="1" s="1"/>
  <c r="K42" i="1" s="1"/>
  <c r="Q42" i="1"/>
  <c r="E43" i="1"/>
  <c r="F43" i="1" s="1"/>
  <c r="G43" i="1" s="1"/>
  <c r="K43" i="1" s="1"/>
  <c r="Q43" i="1"/>
  <c r="E35" i="1"/>
  <c r="F35" i="1" s="1"/>
  <c r="G35" i="1" s="1"/>
  <c r="K35" i="1" s="1"/>
  <c r="Q35" i="1"/>
  <c r="E36" i="1"/>
  <c r="F36" i="1"/>
  <c r="G36" i="1" s="1"/>
  <c r="K36" i="1" s="1"/>
  <c r="Q36" i="1"/>
  <c r="E37" i="1"/>
  <c r="F37" i="1"/>
  <c r="G37" i="1" s="1"/>
  <c r="K37" i="1" s="1"/>
  <c r="Q37" i="1"/>
  <c r="E38" i="1"/>
  <c r="F38" i="1" s="1"/>
  <c r="G38" i="1" s="1"/>
  <c r="K38" i="1" s="1"/>
  <c r="Q38" i="1"/>
  <c r="E39" i="1"/>
  <c r="F39" i="1" s="1"/>
  <c r="G39" i="1" s="1"/>
  <c r="K39" i="1" s="1"/>
  <c r="Q39" i="1"/>
  <c r="E40" i="1"/>
  <c r="F40" i="1"/>
  <c r="G40" i="1" s="1"/>
  <c r="K40" i="1" s="1"/>
  <c r="Q40" i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 s="1"/>
  <c r="G28" i="1" s="1"/>
  <c r="K28" i="1" s="1"/>
  <c r="E29" i="1"/>
  <c r="F29" i="1" s="1"/>
  <c r="G29" i="1" s="1"/>
  <c r="K29" i="1" s="1"/>
  <c r="E30" i="1"/>
  <c r="F30" i="1"/>
  <c r="G30" i="1" s="1"/>
  <c r="K30" i="1" s="1"/>
  <c r="E31" i="1"/>
  <c r="F31" i="1" s="1"/>
  <c r="G31" i="1" s="1"/>
  <c r="K31" i="1" s="1"/>
  <c r="E32" i="1"/>
  <c r="F32" i="1"/>
  <c r="G32" i="1" s="1"/>
  <c r="K32" i="1" s="1"/>
  <c r="E33" i="1"/>
  <c r="F33" i="1" s="1"/>
  <c r="G33" i="1" s="1"/>
  <c r="K33" i="1" s="1"/>
  <c r="E34" i="1"/>
  <c r="F34" i="1"/>
  <c r="G34" i="1" s="1"/>
  <c r="K34" i="1" s="1"/>
  <c r="D9" i="1"/>
  <c r="C9" i="1"/>
  <c r="E22" i="1"/>
  <c r="F22" i="1" s="1"/>
  <c r="G22" i="1" s="1"/>
  <c r="K22" i="1" s="1"/>
  <c r="E23" i="1"/>
  <c r="F23" i="1"/>
  <c r="G23" i="1"/>
  <c r="K23" i="1" s="1"/>
  <c r="Q24" i="1"/>
  <c r="Q25" i="1"/>
  <c r="Q26" i="1"/>
  <c r="Q27" i="1"/>
  <c r="Q28" i="1"/>
  <c r="Q29" i="1"/>
  <c r="Q30" i="1"/>
  <c r="Q31" i="1"/>
  <c r="Q32" i="1"/>
  <c r="Q33" i="1"/>
  <c r="Q34" i="1"/>
  <c r="Q22" i="1"/>
  <c r="Q23" i="1"/>
  <c r="C17" i="1"/>
  <c r="C11" i="1"/>
  <c r="C12" i="1"/>
  <c r="O44" i="1" l="1"/>
  <c r="Q21" i="1"/>
  <c r="E21" i="1"/>
  <c r="F21" i="1" s="1"/>
  <c r="O21" i="1" s="1"/>
  <c r="F15" i="1"/>
  <c r="O43" i="1"/>
  <c r="O42" i="1"/>
  <c r="O41" i="1"/>
  <c r="O37" i="1"/>
  <c r="O36" i="1"/>
  <c r="O40" i="1"/>
  <c r="O35" i="1"/>
  <c r="O39" i="1"/>
  <c r="O38" i="1"/>
  <c r="O28" i="1"/>
  <c r="C15" i="1"/>
  <c r="O33" i="1"/>
  <c r="O30" i="1"/>
  <c r="O24" i="1"/>
  <c r="O26" i="1"/>
  <c r="O32" i="1"/>
  <c r="O34" i="1"/>
  <c r="O31" i="1"/>
  <c r="O27" i="1"/>
  <c r="O22" i="1"/>
  <c r="O25" i="1"/>
  <c r="O29" i="1"/>
  <c r="O23" i="1"/>
  <c r="C16" i="1"/>
  <c r="D18" i="1" s="1"/>
  <c r="G21" i="1" l="1"/>
  <c r="I21" i="1" s="1"/>
  <c r="F16" i="1"/>
  <c r="F18" i="1" s="1"/>
  <c r="C18" i="1"/>
  <c r="F17" i="1" l="1"/>
</calcChain>
</file>

<file path=xl/sharedStrings.xml><?xml version="1.0" encoding="utf-8"?>
<sst xmlns="http://schemas.openxmlformats.org/spreadsheetml/2006/main" count="102" uniqueCount="60">
  <si>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</si>
  <si>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</si>
  <si>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</si>
  <si>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</si>
  <si>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</si>
  <si>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</si>
  <si>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</si>
  <si>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</si>
  <si>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</si>
  <si>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</si>
  <si>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</si>
  <si>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</si>
  <si>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</si>
  <si>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</si>
  <si>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</si>
  <si>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</si>
  <si>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</si>
  <si>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</si>
  <si>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</si>
  <si>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</si>
  <si>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</si>
  <si>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</si>
  <si>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</si>
  <si>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</si>
  <si>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</si>
  <si>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</si>
  <si>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</si>
  <si>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</si>
  <si>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</si>
  <si>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</si>
  <si>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</si>
  <si>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</si>
  <si>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</si>
  <si>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</si>
  <si>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</si>
  <si>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</si>
  <si>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</si>
  <si>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</si>
  <si>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PW UMa / GSC 4141-0054</t>
  </si>
  <si>
    <t>EW</t>
  </si>
  <si>
    <t>IBVS 6029</t>
  </si>
  <si>
    <t>II</t>
  </si>
  <si>
    <t>IBVS 6196</t>
  </si>
  <si>
    <t>I</t>
  </si>
  <si>
    <t>OEJV 0179</t>
  </si>
  <si>
    <t>pg</t>
  </si>
  <si>
    <t>vis</t>
  </si>
  <si>
    <t>PE</t>
  </si>
  <si>
    <t>CCD</t>
  </si>
  <si>
    <t>VSB, 91</t>
  </si>
  <si>
    <t>JBAV, 60</t>
  </si>
  <si>
    <t>V</t>
  </si>
  <si>
    <t>B</t>
  </si>
  <si>
    <t>Ic</t>
  </si>
  <si>
    <t>VSB, 108</t>
  </si>
  <si>
    <t>JBAV 96</t>
  </si>
  <si>
    <t>Next ToM-P</t>
  </si>
  <si>
    <t>Next ToM-S</t>
  </si>
  <si>
    <t>11.10-11.60</t>
  </si>
  <si>
    <t>Mag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</si>
</sst>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29" fillId="0" borderId="0"/>
    <xf numFmtId="0" fontId="18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24" borderId="0" xfId="0" applyFont="1" applyFill="1" applyAlignment="1"/>
    <xf numFmtId="0" fontId="16" fillId="0" borderId="0" xfId="42" applyFont="1"/>
    <xf numFmtId="0" fontId="16" fillId="0" borderId="0" xfId="42" applyFont="1" applyAlignment="1">
      <alignment horizontal="center"/>
    </xf>
    <xf numFmtId="0" fontId="16" fillId="0" borderId="0" xfId="42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0" fontId="17" fillId="0" borderId="0" xfId="0" applyFont="1" applyAlignment="1"/>
    <xf numFmtId="0" fontId="33" fillId="0" borderId="0" xfId="0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9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24" borderId="0" xfId="0" applyFont="1" applyFill="1" applyAlignment="1">
      <alignment vertical="center"/>
    </xf>
    <xf numFmtId="0" fontId="16" fillId="0" borderId="0" xfId="41" applyFont="1" applyAlignment="1">
      <alignment vertical="center" wrapText="1"/>
    </xf>
    <xf numFmtId="0" fontId="16" fillId="0" borderId="0" xfId="41" applyFont="1" applyAlignment="1">
      <alignment horizontal="center" vertical="center" wrapText="1"/>
    </xf>
    <xf numFmtId="0" fontId="16" fillId="0" borderId="0" xfId="41" applyFont="1" applyAlignment="1">
      <alignment horizontal="left" vertical="center" wrapText="1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165" fontId="33" fillId="0" borderId="0" xfId="0" applyNumberFormat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11" xfId="0" applyBorder="1" applyAlignment="1">
      <alignment vertical="center"/>
    </xf>
    <xf numFmtId="0" fontId="34" fillId="0" borderId="14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25" borderId="12" xfId="0" applyFont="1" applyFill="1" applyBorder="1" applyAlignment="1">
      <alignment horizontal="right" vertical="center"/>
    </xf>
    <xf numFmtId="0" fontId="6" fillId="25" borderId="1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35" fillId="0" borderId="15" xfId="0" applyFont="1" applyBorder="1" applyAlignment="1">
      <alignment horizontal="right" vertical="center"/>
    </xf>
    <xf numFmtId="22" fontId="35" fillId="0" borderId="15" xfId="0" applyNumberFormat="1" applyFont="1" applyBorder="1" applyAlignment="1">
      <alignment horizontal="right" vertical="center"/>
    </xf>
    <xf numFmtId="22" fontId="35" fillId="0" borderId="17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PW UMa - O-C Diagr.</a:t>
            </a:r>
          </a:p>
        </c:rich>
      </c:tx>
      <c:layout>
        <c:manualLayout>
          <c:xMode val="edge"/>
          <c:yMode val="edge"/>
          <c:x val="0.3894297635605006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00139082058414"/>
          <c:y val="0.14035127795846455"/>
          <c:w val="0.835883171070931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B1-433E-A3F7-C24E76DC738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B1-433E-A3F7-C24E76DC738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B1-433E-A3F7-C24E76DC738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0.19182000000000698</c:v>
                </c:pt>
                <c:pt idx="2">
                  <c:v>0.19441999999980908</c:v>
                </c:pt>
                <c:pt idx="3">
                  <c:v>0.16737000000284752</c:v>
                </c:pt>
                <c:pt idx="4">
                  <c:v>0.15976999999838881</c:v>
                </c:pt>
                <c:pt idx="5">
                  <c:v>0.1604700000025332</c:v>
                </c:pt>
                <c:pt idx="6">
                  <c:v>0.15544000000227243</c:v>
                </c:pt>
                <c:pt idx="7">
                  <c:v>0.15565000000060536</c:v>
                </c:pt>
                <c:pt idx="8">
                  <c:v>0.15573000000586035</c:v>
                </c:pt>
                <c:pt idx="9">
                  <c:v>0.15588000000570901</c:v>
                </c:pt>
                <c:pt idx="10">
                  <c:v>0.15643000000272878</c:v>
                </c:pt>
                <c:pt idx="11">
                  <c:v>0.16023000000132015</c:v>
                </c:pt>
                <c:pt idx="12">
                  <c:v>0.16025999999692431</c:v>
                </c:pt>
                <c:pt idx="13">
                  <c:v>0.16058999999950174</c:v>
                </c:pt>
                <c:pt idx="14">
                  <c:v>0.39667000006738817</c:v>
                </c:pt>
                <c:pt idx="15">
                  <c:v>0.40002000000094995</c:v>
                </c:pt>
                <c:pt idx="16">
                  <c:v>0.39487000000372063</c:v>
                </c:pt>
                <c:pt idx="17">
                  <c:v>0.39162000014766818</c:v>
                </c:pt>
                <c:pt idx="18">
                  <c:v>0.3956199998719967</c:v>
                </c:pt>
                <c:pt idx="19">
                  <c:v>0.39861999989807373</c:v>
                </c:pt>
                <c:pt idx="20">
                  <c:v>0.38897000012366334</c:v>
                </c:pt>
                <c:pt idx="21">
                  <c:v>0.38947000020561973</c:v>
                </c:pt>
                <c:pt idx="22">
                  <c:v>0.39087000015570084</c:v>
                </c:pt>
                <c:pt idx="23">
                  <c:v>0.37536000020918436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2B1-433E-A3F7-C24E76DC738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2B1-433E-A3F7-C24E76DC738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2B1-433E-A3F7-C24E76DC738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5.9999999999999995E-4</c:v>
                  </c:pt>
                  <c:pt idx="4">
                    <c:v>2.0000000000000001E-4</c:v>
                  </c:pt>
                  <c:pt idx="5">
                    <c:v>5.9999999999999995E-4</c:v>
                  </c:pt>
                  <c:pt idx="6">
                    <c:v>2.9999999999999997E-4</c:v>
                  </c:pt>
                  <c:pt idx="7">
                    <c:v>2.0000000000000001E-4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2.0000000000000001E-4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2.9999999999999997E-4</c:v>
                  </c:pt>
                  <c:pt idx="14">
                    <c:v>0</c:v>
                  </c:pt>
                  <c:pt idx="15">
                    <c:v>1.1000000000000001E-3</c:v>
                  </c:pt>
                  <c:pt idx="16">
                    <c:v>6.9999999999999999E-4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2B1-433E-A3F7-C24E76DC738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-0.2827149541918354</c:v>
                </c:pt>
                <c:pt idx="1">
                  <c:v>7.5282312979826516E-2</c:v>
                </c:pt>
                <c:pt idx="2">
                  <c:v>8.1832027846588884E-2</c:v>
                </c:pt>
                <c:pt idx="3">
                  <c:v>0.17170610825423988</c:v>
                </c:pt>
                <c:pt idx="4">
                  <c:v>0.20150269842275026</c:v>
                </c:pt>
                <c:pt idx="5">
                  <c:v>0.20150269842275026</c:v>
                </c:pt>
                <c:pt idx="6">
                  <c:v>0.20207925783003572</c:v>
                </c:pt>
                <c:pt idx="7">
                  <c:v>0.20207925783003572</c:v>
                </c:pt>
                <c:pt idx="8">
                  <c:v>0.20207925783003572</c:v>
                </c:pt>
                <c:pt idx="9">
                  <c:v>0.20207925783003572</c:v>
                </c:pt>
                <c:pt idx="10">
                  <c:v>0.20207925783003572</c:v>
                </c:pt>
                <c:pt idx="11">
                  <c:v>0.20210232020632712</c:v>
                </c:pt>
                <c:pt idx="12">
                  <c:v>0.20210232020632712</c:v>
                </c:pt>
                <c:pt idx="13">
                  <c:v>0.20210232020632712</c:v>
                </c:pt>
                <c:pt idx="14">
                  <c:v>0.34997827698689116</c:v>
                </c:pt>
                <c:pt idx="15">
                  <c:v>0.35115445817775343</c:v>
                </c:pt>
                <c:pt idx="16">
                  <c:v>0.35117752055404489</c:v>
                </c:pt>
                <c:pt idx="17">
                  <c:v>0.35479831363179731</c:v>
                </c:pt>
                <c:pt idx="18">
                  <c:v>0.35479831363179731</c:v>
                </c:pt>
                <c:pt idx="19">
                  <c:v>0.35479831363179731</c:v>
                </c:pt>
                <c:pt idx="20">
                  <c:v>0.38627845726958115</c:v>
                </c:pt>
                <c:pt idx="21">
                  <c:v>0.38627845726958115</c:v>
                </c:pt>
                <c:pt idx="22">
                  <c:v>0.38627845726958115</c:v>
                </c:pt>
                <c:pt idx="23">
                  <c:v>0.43208033658433481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2B1-433E-A3F7-C24E76DC738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7761.5</c:v>
                </c:pt>
                <c:pt idx="2">
                  <c:v>7903.5</c:v>
                </c:pt>
                <c:pt idx="3">
                  <c:v>9852</c:v>
                </c:pt>
                <c:pt idx="4">
                  <c:v>10498</c:v>
                </c:pt>
                <c:pt idx="5">
                  <c:v>10498</c:v>
                </c:pt>
                <c:pt idx="6">
                  <c:v>10510.5</c:v>
                </c:pt>
                <c:pt idx="7">
                  <c:v>10510.5</c:v>
                </c:pt>
                <c:pt idx="8">
                  <c:v>10510.5</c:v>
                </c:pt>
                <c:pt idx="9">
                  <c:v>10510.5</c:v>
                </c:pt>
                <c:pt idx="10">
                  <c:v>10510.5</c:v>
                </c:pt>
                <c:pt idx="11">
                  <c:v>10511</c:v>
                </c:pt>
                <c:pt idx="12">
                  <c:v>10511</c:v>
                </c:pt>
                <c:pt idx="13">
                  <c:v>10511</c:v>
                </c:pt>
                <c:pt idx="14">
                  <c:v>13717</c:v>
                </c:pt>
                <c:pt idx="15">
                  <c:v>13742.5</c:v>
                </c:pt>
                <c:pt idx="16">
                  <c:v>13743</c:v>
                </c:pt>
                <c:pt idx="17">
                  <c:v>13821.5</c:v>
                </c:pt>
                <c:pt idx="18">
                  <c:v>13821.5</c:v>
                </c:pt>
                <c:pt idx="19">
                  <c:v>13821.5</c:v>
                </c:pt>
                <c:pt idx="20">
                  <c:v>14504</c:v>
                </c:pt>
                <c:pt idx="21">
                  <c:v>14504</c:v>
                </c:pt>
                <c:pt idx="22">
                  <c:v>14504</c:v>
                </c:pt>
                <c:pt idx="23">
                  <c:v>15497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2B1-433E-A3F7-C24E76DC7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2007248"/>
        <c:axId val="1"/>
      </c:scatterChart>
      <c:valAx>
        <c:axId val="912007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5577190542419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78720445062586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2007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04867872044508"/>
          <c:y val="0.92397937099967764"/>
          <c:w val="0.660639777468706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18</xdr:col>
      <xdr:colOff>85725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49D09E51-3D78-2258-CA59-CB031CAD1B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9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3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12" customFormat="1" ht="20.25" x14ac:dyDescent="0.2">
      <c r="A1" s="45" t="s">
        <v>38</v>
      </c>
    </row>
    <row r="2" spans="1:6" s="12" customFormat="1" ht="12.95" customHeight="1" x14ac:dyDescent="0.2">
      <c r="A2" s="12" t="s">
        <v>23</v>
      </c>
      <c r="B2" s="12" t="s">
        <v>39</v>
      </c>
      <c r="C2" s="13"/>
      <c r="D2" s="13"/>
    </row>
    <row r="3" spans="1:6" s="12" customFormat="1" ht="12.95" customHeight="1" thickBot="1" x14ac:dyDescent="0.25"/>
    <row r="4" spans="1:6" s="12" customFormat="1" ht="12.95" customHeight="1" thickTop="1" thickBot="1" x14ac:dyDescent="0.25">
      <c r="A4" s="14" t="s">
        <v>0</v>
      </c>
      <c r="C4" s="15" t="s">
        <v>36</v>
      </c>
      <c r="D4" s="16" t="s">
        <v>36</v>
      </c>
    </row>
    <row r="5" spans="1:6" s="12" customFormat="1" ht="12.95" customHeight="1" thickTop="1" x14ac:dyDescent="0.2">
      <c r="A5" s="17" t="s">
        <v>28</v>
      </c>
      <c r="C5" s="18">
        <v>-9.5</v>
      </c>
      <c r="D5" s="12" t="s">
        <v>29</v>
      </c>
    </row>
    <row r="6" spans="1:6" s="12" customFormat="1" ht="12.95" customHeight="1" x14ac:dyDescent="0.2">
      <c r="A6" s="14" t="s">
        <v>1</v>
      </c>
    </row>
    <row r="7" spans="1:6" s="12" customFormat="1" ht="12.95" customHeight="1" x14ac:dyDescent="0.2">
      <c r="A7" s="12" t="s">
        <v>2</v>
      </c>
      <c r="C7" s="46">
        <v>51627.689429999999</v>
      </c>
      <c r="D7" s="20" t="s">
        <v>37</v>
      </c>
    </row>
    <row r="8" spans="1:6" s="12" customFormat="1" ht="12.95" customHeight="1" x14ac:dyDescent="0.2">
      <c r="A8" s="12" t="s">
        <v>3</v>
      </c>
      <c r="C8" s="46">
        <v>0.55530000000000002</v>
      </c>
      <c r="D8" s="20" t="s">
        <v>37</v>
      </c>
    </row>
    <row r="9" spans="1:6" s="12" customFormat="1" ht="12.95" customHeight="1" x14ac:dyDescent="0.2">
      <c r="A9" s="21" t="s">
        <v>31</v>
      </c>
      <c r="B9" s="22">
        <v>22</v>
      </c>
      <c r="C9" s="23" t="str">
        <f>"F"&amp;B9</f>
        <v>F22</v>
      </c>
      <c r="D9" s="24" t="str">
        <f>"G"&amp;B9</f>
        <v>G22</v>
      </c>
    </row>
    <row r="10" spans="1:6" s="12" customFormat="1" ht="12.95" customHeight="1" thickBot="1" x14ac:dyDescent="0.25">
      <c r="C10" s="25" t="s">
        <v>19</v>
      </c>
      <c r="D10" s="25" t="s">
        <v>20</v>
      </c>
    </row>
    <row r="11" spans="1:6" s="12" customFormat="1" ht="12.95" customHeight="1" x14ac:dyDescent="0.2">
      <c r="A11" s="12" t="s">
        <v>15</v>
      </c>
      <c r="C11" s="24">
        <f ca="1">INTERCEPT(INDIRECT($D$9):G992,INDIRECT($C$9):F992)</f>
        <v>-0.2827149541918354</v>
      </c>
      <c r="D11" s="13"/>
    </row>
    <row r="12" spans="1:6" s="12" customFormat="1" ht="12.95" customHeight="1" x14ac:dyDescent="0.2">
      <c r="A12" s="12" t="s">
        <v>16</v>
      </c>
      <c r="C12" s="24">
        <f ca="1">SLOPE(INDIRECT($D$9):G992,INDIRECT($C$9):F992)</f>
        <v>4.6124752582833462E-5</v>
      </c>
      <c r="D12" s="13"/>
      <c r="E12" s="55" t="s">
        <v>59</v>
      </c>
      <c r="F12" s="56" t="s">
        <v>58</v>
      </c>
    </row>
    <row r="13" spans="1:6" s="12" customFormat="1" ht="12.95" customHeight="1" x14ac:dyDescent="0.2">
      <c r="A13" s="12" t="s">
        <v>18</v>
      </c>
      <c r="C13" s="13" t="s">
        <v>13</v>
      </c>
      <c r="E13" s="53" t="s">
        <v>33</v>
      </c>
      <c r="F13" s="57">
        <v>1</v>
      </c>
    </row>
    <row r="14" spans="1:6" s="12" customFormat="1" ht="12.95" customHeight="1" x14ac:dyDescent="0.2">
      <c r="E14" s="53" t="s">
        <v>30</v>
      </c>
      <c r="F14" s="58">
        <f ca="1">NOW()+15018.5+$C$5/24</f>
        <v>60685.731421643519</v>
      </c>
    </row>
    <row r="15" spans="1:6" s="12" customFormat="1" ht="12.95" customHeight="1" x14ac:dyDescent="0.2">
      <c r="A15" s="26" t="s">
        <v>17</v>
      </c>
      <c r="C15" s="27">
        <f ca="1">(C7+C11)+(C8+C12)*INT(MAX(F21:F3533))</f>
        <v>60233.605610336585</v>
      </c>
      <c r="E15" s="53" t="s">
        <v>34</v>
      </c>
      <c r="F15" s="58">
        <f ca="1">ROUND(2*($F$14-$C$7)/$C$8,0)/2+$F$13</f>
        <v>16313</v>
      </c>
    </row>
    <row r="16" spans="1:6" s="12" customFormat="1" ht="12.95" customHeight="1" x14ac:dyDescent="0.2">
      <c r="A16" s="14" t="s">
        <v>4</v>
      </c>
      <c r="C16" s="29">
        <f ca="1">+C8+C12</f>
        <v>0.55534612475258283</v>
      </c>
      <c r="E16" s="53" t="s">
        <v>35</v>
      </c>
      <c r="F16" s="58">
        <f ca="1">ROUND(2*($F$14-$C$15)/$C$16,0)/2+$F$13</f>
        <v>815</v>
      </c>
    </row>
    <row r="17" spans="1:21" s="12" customFormat="1" ht="12.95" customHeight="1" thickBot="1" x14ac:dyDescent="0.25">
      <c r="A17" s="28" t="s">
        <v>27</v>
      </c>
      <c r="C17" s="12">
        <f>COUNT(C21:C2191)</f>
        <v>24</v>
      </c>
      <c r="E17" s="53" t="s">
        <v>56</v>
      </c>
      <c r="F17" s="59">
        <f ca="1">+$C$15+$C$16*$F$16-15018.5-$C$5/24</f>
        <v>45668.108535343272</v>
      </c>
    </row>
    <row r="18" spans="1:21" s="12" customFormat="1" ht="12.95" customHeight="1" thickTop="1" thickBot="1" x14ac:dyDescent="0.25">
      <c r="A18" s="14" t="s">
        <v>5</v>
      </c>
      <c r="C18" s="30">
        <f ca="1">+C15</f>
        <v>60233.605610336585</v>
      </c>
      <c r="D18" s="52">
        <f ca="1">+C16</f>
        <v>0.55534612475258283</v>
      </c>
      <c r="E18" s="54" t="s">
        <v>57</v>
      </c>
      <c r="F18" s="60">
        <f ca="1">+($C$15+$C$16*$F$16)-($C$16/2)-15018.5-$C$5/24</f>
        <v>45667.830862280898</v>
      </c>
    </row>
    <row r="19" spans="1:21" s="12" customFormat="1" ht="12.95" customHeight="1" thickTop="1" x14ac:dyDescent="0.2">
      <c r="E19" s="28"/>
      <c r="F19" s="31"/>
    </row>
    <row r="20" spans="1:21" s="12" customFormat="1" ht="12.95" customHeight="1" thickBot="1" x14ac:dyDescent="0.25">
      <c r="A20" s="25" t="s">
        <v>6</v>
      </c>
      <c r="B20" s="25" t="s">
        <v>7</v>
      </c>
      <c r="C20" s="25" t="s">
        <v>8</v>
      </c>
      <c r="D20" s="25" t="s">
        <v>12</v>
      </c>
      <c r="E20" s="25" t="s">
        <v>9</v>
      </c>
      <c r="F20" s="25" t="s">
        <v>10</v>
      </c>
      <c r="G20" s="25" t="s">
        <v>11</v>
      </c>
      <c r="H20" s="32" t="s">
        <v>45</v>
      </c>
      <c r="I20" s="32" t="s">
        <v>46</v>
      </c>
      <c r="J20" s="32" t="s">
        <v>47</v>
      </c>
      <c r="K20" s="32" t="s">
        <v>48</v>
      </c>
      <c r="L20" s="32" t="s">
        <v>24</v>
      </c>
      <c r="M20" s="32" t="s">
        <v>25</v>
      </c>
      <c r="N20" s="32" t="s">
        <v>26</v>
      </c>
      <c r="O20" s="32" t="s">
        <v>22</v>
      </c>
      <c r="P20" s="33" t="s">
        <v>21</v>
      </c>
      <c r="Q20" s="25" t="s">
        <v>14</v>
      </c>
      <c r="U20" s="34" t="s">
        <v>32</v>
      </c>
    </row>
    <row r="21" spans="1:21" s="12" customFormat="1" ht="12.95" customHeight="1" x14ac:dyDescent="0.2">
      <c r="A21" s="12" t="s">
        <v>37</v>
      </c>
      <c r="C21" s="19">
        <v>51627.689429999999</v>
      </c>
      <c r="D21" s="19" t="s">
        <v>13</v>
      </c>
      <c r="E21" s="12">
        <f>+(C21-C$7)/C$8</f>
        <v>0</v>
      </c>
      <c r="F21" s="12">
        <f>ROUND(2*E21,0)/2</f>
        <v>0</v>
      </c>
      <c r="G21" s="12">
        <f>+C21-(C$7+F21*C$8)</f>
        <v>0</v>
      </c>
      <c r="I21" s="12">
        <f>+G21</f>
        <v>0</v>
      </c>
      <c r="O21" s="12">
        <f ca="1">+C$11+C$12*$F21</f>
        <v>-0.2827149541918354</v>
      </c>
      <c r="Q21" s="35">
        <f>+C21-15018.5</f>
        <v>36609.189429999999</v>
      </c>
    </row>
    <row r="22" spans="1:21" s="12" customFormat="1" ht="12.95" customHeight="1" x14ac:dyDescent="0.2">
      <c r="A22" s="36" t="s">
        <v>40</v>
      </c>
      <c r="B22" s="37" t="s">
        <v>41</v>
      </c>
      <c r="C22" s="36">
        <v>55937.842199999999</v>
      </c>
      <c r="D22" s="36">
        <v>6.9999999999999999E-4</v>
      </c>
      <c r="E22" s="12">
        <f>+(C22-C$7)/C$8</f>
        <v>7761.8454349000549</v>
      </c>
      <c r="F22" s="38">
        <f>ROUND(2*E22,0)/2-0.5</f>
        <v>7761.5</v>
      </c>
      <c r="G22" s="12">
        <f>+C22-(C$7+F22*C$8)</f>
        <v>0.19182000000000698</v>
      </c>
      <c r="K22" s="12">
        <f t="shared" ref="K22:K34" si="0">+G22</f>
        <v>0.19182000000000698</v>
      </c>
      <c r="O22" s="12">
        <f ca="1">+C$11+C$12*$F22</f>
        <v>7.5282312979826516E-2</v>
      </c>
      <c r="Q22" s="35">
        <f>+C22-15018.5</f>
        <v>40919.342199999999</v>
      </c>
    </row>
    <row r="23" spans="1:21" s="12" customFormat="1" ht="12.95" customHeight="1" x14ac:dyDescent="0.2">
      <c r="A23" s="36" t="s">
        <v>40</v>
      </c>
      <c r="B23" s="37" t="s">
        <v>41</v>
      </c>
      <c r="C23" s="36">
        <v>56016.697399999997</v>
      </c>
      <c r="D23" s="36">
        <v>4.0000000000000002E-4</v>
      </c>
      <c r="E23" s="12">
        <f>+(C23-C$7)/C$8</f>
        <v>7903.850117053842</v>
      </c>
      <c r="F23" s="38">
        <f>ROUND(2*E23,0)/2-0.5</f>
        <v>7903.5</v>
      </c>
      <c r="G23" s="12">
        <f>+C23-(C$7+F23*C$8)</f>
        <v>0.19441999999980908</v>
      </c>
      <c r="K23" s="12">
        <f t="shared" si="0"/>
        <v>0.19441999999980908</v>
      </c>
      <c r="O23" s="12">
        <f ca="1">+C$11+C$12*$F23</f>
        <v>8.1832027846588884E-2</v>
      </c>
      <c r="Q23" s="35">
        <f>+C23-15018.5</f>
        <v>40998.197399999997</v>
      </c>
    </row>
    <row r="24" spans="1:21" s="12" customFormat="1" ht="12.95" customHeight="1" x14ac:dyDescent="0.2">
      <c r="A24" s="39" t="s">
        <v>42</v>
      </c>
      <c r="B24" s="40" t="s">
        <v>43</v>
      </c>
      <c r="C24" s="41">
        <v>57098.672400000003</v>
      </c>
      <c r="D24" s="41">
        <v>5.9999999999999995E-4</v>
      </c>
      <c r="E24" s="12">
        <f t="shared" ref="E24:E34" si="1">+(C24-C$7)/C$8</f>
        <v>9852.3014046461449</v>
      </c>
      <c r="F24" s="38">
        <f t="shared" ref="F24:F34" si="2">ROUND(2*E24,0)/2-0.5</f>
        <v>9852</v>
      </c>
      <c r="G24" s="12">
        <f t="shared" ref="G24:G34" si="3">+C24-(C$7+F24*C$8)</f>
        <v>0.16737000000284752</v>
      </c>
      <c r="K24" s="12">
        <f t="shared" si="0"/>
        <v>0.16737000000284752</v>
      </c>
      <c r="O24" s="12">
        <f t="shared" ref="O24:O34" ca="1" si="4">+C$11+C$12*$F24</f>
        <v>0.17170610825423988</v>
      </c>
      <c r="Q24" s="35">
        <f t="shared" ref="Q24:Q34" si="5">+C24-15018.5</f>
        <v>42080.172400000003</v>
      </c>
    </row>
    <row r="25" spans="1:21" s="12" customFormat="1" ht="12.95" customHeight="1" x14ac:dyDescent="0.2">
      <c r="A25" s="42" t="s">
        <v>44</v>
      </c>
      <c r="B25" s="43" t="s">
        <v>43</v>
      </c>
      <c r="C25" s="44">
        <v>57457.388599999998</v>
      </c>
      <c r="D25" s="44">
        <v>2.0000000000000001E-4</v>
      </c>
      <c r="E25" s="12">
        <f t="shared" si="1"/>
        <v>10498.287718350441</v>
      </c>
      <c r="F25" s="38">
        <f t="shared" si="2"/>
        <v>10498</v>
      </c>
      <c r="G25" s="12">
        <f t="shared" si="3"/>
        <v>0.15976999999838881</v>
      </c>
      <c r="K25" s="12">
        <f t="shared" si="0"/>
        <v>0.15976999999838881</v>
      </c>
      <c r="O25" s="12">
        <f t="shared" ca="1" si="4"/>
        <v>0.20150269842275026</v>
      </c>
      <c r="Q25" s="35">
        <f t="shared" si="5"/>
        <v>42438.888599999998</v>
      </c>
    </row>
    <row r="26" spans="1:21" s="12" customFormat="1" ht="12.95" customHeight="1" x14ac:dyDescent="0.2">
      <c r="A26" s="42" t="s">
        <v>44</v>
      </c>
      <c r="B26" s="43" t="s">
        <v>43</v>
      </c>
      <c r="C26" s="44">
        <v>57457.389300000003</v>
      </c>
      <c r="D26" s="44">
        <v>5.9999999999999995E-4</v>
      </c>
      <c r="E26" s="12">
        <f t="shared" si="1"/>
        <v>10498.288978930315</v>
      </c>
      <c r="F26" s="38">
        <f t="shared" si="2"/>
        <v>10498</v>
      </c>
      <c r="G26" s="12">
        <f t="shared" si="3"/>
        <v>0.1604700000025332</v>
      </c>
      <c r="K26" s="12">
        <f t="shared" si="0"/>
        <v>0.1604700000025332</v>
      </c>
      <c r="O26" s="12">
        <f t="shared" ca="1" si="4"/>
        <v>0.20150269842275026</v>
      </c>
      <c r="Q26" s="35">
        <f t="shared" si="5"/>
        <v>42438.889300000003</v>
      </c>
    </row>
    <row r="27" spans="1:21" s="12" customFormat="1" ht="12.95" customHeight="1" x14ac:dyDescent="0.2">
      <c r="A27" s="42" t="s">
        <v>44</v>
      </c>
      <c r="B27" s="43" t="s">
        <v>43</v>
      </c>
      <c r="C27" s="44">
        <v>57464.325519999999</v>
      </c>
      <c r="D27" s="44">
        <v>2.9999999999999997E-4</v>
      </c>
      <c r="E27" s="12">
        <f t="shared" si="1"/>
        <v>10510.779920763551</v>
      </c>
      <c r="F27" s="38">
        <f t="shared" si="2"/>
        <v>10510.5</v>
      </c>
      <c r="G27" s="12">
        <f t="shared" si="3"/>
        <v>0.15544000000227243</v>
      </c>
      <c r="K27" s="12">
        <f t="shared" si="0"/>
        <v>0.15544000000227243</v>
      </c>
      <c r="O27" s="12">
        <f t="shared" ca="1" si="4"/>
        <v>0.20207925783003572</v>
      </c>
      <c r="Q27" s="35">
        <f t="shared" si="5"/>
        <v>42445.825519999999</v>
      </c>
    </row>
    <row r="28" spans="1:21" s="12" customFormat="1" ht="12.95" customHeight="1" x14ac:dyDescent="0.2">
      <c r="A28" s="42" t="s">
        <v>44</v>
      </c>
      <c r="B28" s="43" t="s">
        <v>43</v>
      </c>
      <c r="C28" s="44">
        <v>57464.325729999997</v>
      </c>
      <c r="D28" s="44">
        <v>2.0000000000000001E-4</v>
      </c>
      <c r="E28" s="12">
        <f t="shared" si="1"/>
        <v>10510.780298937509</v>
      </c>
      <c r="F28" s="38">
        <f t="shared" si="2"/>
        <v>10510.5</v>
      </c>
      <c r="G28" s="12">
        <f t="shared" si="3"/>
        <v>0.15565000000060536</v>
      </c>
      <c r="K28" s="12">
        <f t="shared" si="0"/>
        <v>0.15565000000060536</v>
      </c>
      <c r="O28" s="12">
        <f t="shared" ca="1" si="4"/>
        <v>0.20207925783003572</v>
      </c>
      <c r="Q28" s="35">
        <f t="shared" si="5"/>
        <v>42445.825729999997</v>
      </c>
    </row>
    <row r="29" spans="1:21" s="12" customFormat="1" ht="12.95" customHeight="1" x14ac:dyDescent="0.2">
      <c r="A29" s="42" t="s">
        <v>44</v>
      </c>
      <c r="B29" s="43" t="s">
        <v>43</v>
      </c>
      <c r="C29" s="44">
        <v>57464.325810000002</v>
      </c>
      <c r="D29" s="44">
        <v>2.0000000000000001E-4</v>
      </c>
      <c r="E29" s="12">
        <f t="shared" si="1"/>
        <v>10510.780443003789</v>
      </c>
      <c r="F29" s="38">
        <f t="shared" si="2"/>
        <v>10510.5</v>
      </c>
      <c r="G29" s="12">
        <f t="shared" si="3"/>
        <v>0.15573000000586035</v>
      </c>
      <c r="K29" s="12">
        <f t="shared" si="0"/>
        <v>0.15573000000586035</v>
      </c>
      <c r="O29" s="12">
        <f t="shared" ca="1" si="4"/>
        <v>0.20207925783003572</v>
      </c>
      <c r="Q29" s="35">
        <f t="shared" si="5"/>
        <v>42445.825810000002</v>
      </c>
    </row>
    <row r="30" spans="1:21" x14ac:dyDescent="0.2">
      <c r="A30" s="4" t="s">
        <v>44</v>
      </c>
      <c r="B30" s="5" t="s">
        <v>41</v>
      </c>
      <c r="C30" s="6">
        <v>57464.325960000002</v>
      </c>
      <c r="D30" s="6">
        <v>2.0000000000000001E-4</v>
      </c>
      <c r="E30">
        <f t="shared" si="1"/>
        <v>10510.780713128044</v>
      </c>
      <c r="F30" s="3">
        <f t="shared" si="2"/>
        <v>10510.5</v>
      </c>
      <c r="G30">
        <f t="shared" si="3"/>
        <v>0.15588000000570901</v>
      </c>
      <c r="K30">
        <f t="shared" si="0"/>
        <v>0.15588000000570901</v>
      </c>
      <c r="O30">
        <f t="shared" ca="1" si="4"/>
        <v>0.20207925783003572</v>
      </c>
      <c r="Q30" s="1">
        <f t="shared" si="5"/>
        <v>42445.825960000002</v>
      </c>
    </row>
    <row r="31" spans="1:21" x14ac:dyDescent="0.2">
      <c r="A31" s="4" t="s">
        <v>44</v>
      </c>
      <c r="B31" s="5" t="s">
        <v>41</v>
      </c>
      <c r="C31" s="6">
        <v>57464.326509999999</v>
      </c>
      <c r="D31" s="6">
        <v>2.0000000000000001E-4</v>
      </c>
      <c r="E31">
        <f t="shared" si="1"/>
        <v>10510.781703583649</v>
      </c>
      <c r="F31" s="3">
        <f t="shared" si="2"/>
        <v>10510.5</v>
      </c>
      <c r="G31">
        <f t="shared" si="3"/>
        <v>0.15643000000272878</v>
      </c>
      <c r="K31">
        <f t="shared" si="0"/>
        <v>0.15643000000272878</v>
      </c>
      <c r="O31">
        <f t="shared" ca="1" si="4"/>
        <v>0.20207925783003572</v>
      </c>
      <c r="Q31" s="1">
        <f t="shared" si="5"/>
        <v>42445.826509999999</v>
      </c>
    </row>
    <row r="32" spans="1:21" x14ac:dyDescent="0.2">
      <c r="A32" s="4" t="s">
        <v>44</v>
      </c>
      <c r="B32" s="5" t="s">
        <v>43</v>
      </c>
      <c r="C32" s="6">
        <v>57464.607960000001</v>
      </c>
      <c r="D32" s="6">
        <v>2.0000000000000001E-4</v>
      </c>
      <c r="E32">
        <f t="shared" si="1"/>
        <v>10511.288546731501</v>
      </c>
      <c r="F32" s="3">
        <f t="shared" si="2"/>
        <v>10511</v>
      </c>
      <c r="G32">
        <f t="shared" si="3"/>
        <v>0.16023000000132015</v>
      </c>
      <c r="K32">
        <f t="shared" si="0"/>
        <v>0.16023000000132015</v>
      </c>
      <c r="O32">
        <f t="shared" ca="1" si="4"/>
        <v>0.20210232020632712</v>
      </c>
      <c r="Q32" s="1">
        <f t="shared" si="5"/>
        <v>42446.107960000001</v>
      </c>
    </row>
    <row r="33" spans="1:17" x14ac:dyDescent="0.2">
      <c r="A33" s="4" t="s">
        <v>44</v>
      </c>
      <c r="B33" s="5" t="s">
        <v>41</v>
      </c>
      <c r="C33" s="6">
        <v>57464.607989999997</v>
      </c>
      <c r="D33" s="6">
        <v>2.0000000000000001E-4</v>
      </c>
      <c r="E33">
        <f t="shared" si="1"/>
        <v>10511.288600756345</v>
      </c>
      <c r="F33" s="3">
        <f t="shared" si="2"/>
        <v>10511</v>
      </c>
      <c r="G33">
        <f t="shared" si="3"/>
        <v>0.16025999999692431</v>
      </c>
      <c r="K33">
        <f t="shared" si="0"/>
        <v>0.16025999999692431</v>
      </c>
      <c r="O33">
        <f t="shared" ca="1" si="4"/>
        <v>0.20210232020632712</v>
      </c>
      <c r="Q33" s="1">
        <f t="shared" si="5"/>
        <v>42446.107989999997</v>
      </c>
    </row>
    <row r="34" spans="1:17" x14ac:dyDescent="0.2">
      <c r="A34" s="4" t="s">
        <v>44</v>
      </c>
      <c r="B34" s="5" t="s">
        <v>41</v>
      </c>
      <c r="C34" s="6">
        <v>57464.608319999999</v>
      </c>
      <c r="D34" s="6">
        <v>2.9999999999999997E-4</v>
      </c>
      <c r="E34">
        <f t="shared" si="1"/>
        <v>10511.289195029714</v>
      </c>
      <c r="F34" s="3">
        <f t="shared" si="2"/>
        <v>10511</v>
      </c>
      <c r="G34">
        <f t="shared" si="3"/>
        <v>0.16058999999950174</v>
      </c>
      <c r="K34">
        <f t="shared" si="0"/>
        <v>0.16058999999950174</v>
      </c>
      <c r="O34">
        <f t="shared" ca="1" si="4"/>
        <v>0.20210232020632712</v>
      </c>
      <c r="Q34" s="1">
        <f t="shared" si="5"/>
        <v>42446.108319999999</v>
      </c>
    </row>
    <row r="35" spans="1:17" x14ac:dyDescent="0.2">
      <c r="A35" s="7" t="s">
        <v>49</v>
      </c>
      <c r="B35" s="8" t="s">
        <v>43</v>
      </c>
      <c r="C35" s="47">
        <v>59245.136200000066</v>
      </c>
      <c r="D35" s="48" t="s">
        <v>51</v>
      </c>
      <c r="E35">
        <f t="shared" ref="E35:E40" si="6">+(C35-C$7)/C$8</f>
        <v>13717.714334594035</v>
      </c>
      <c r="F35" s="9">
        <f t="shared" ref="F35:F40" si="7">ROUND(2*E35,0)/2-0.5</f>
        <v>13717</v>
      </c>
      <c r="G35">
        <f t="shared" ref="G35:G40" si="8">+C35-(C$7+F35*C$8)</f>
        <v>0.39667000006738817</v>
      </c>
      <c r="K35">
        <f t="shared" ref="K35:K40" si="9">+G35</f>
        <v>0.39667000006738817</v>
      </c>
      <c r="O35">
        <f t="shared" ref="O35:O40" ca="1" si="10">+C$11+C$12*$F35</f>
        <v>0.34997827698689116</v>
      </c>
      <c r="Q35" s="1">
        <f t="shared" ref="Q35:Q40" si="11">+C35-15018.5</f>
        <v>44226.636200000066</v>
      </c>
    </row>
    <row r="36" spans="1:17" x14ac:dyDescent="0.2">
      <c r="A36" s="7" t="s">
        <v>50</v>
      </c>
      <c r="B36" s="8" t="s">
        <v>43</v>
      </c>
      <c r="C36" s="47">
        <v>59259.299700000003</v>
      </c>
      <c r="D36" s="48">
        <v>1.1000000000000001E-3</v>
      </c>
      <c r="E36">
        <f t="shared" si="6"/>
        <v>13743.220367368998</v>
      </c>
      <c r="F36" s="9">
        <f t="shared" si="7"/>
        <v>13742.5</v>
      </c>
      <c r="G36">
        <f t="shared" si="8"/>
        <v>0.40002000000094995</v>
      </c>
      <c r="K36">
        <f t="shared" si="9"/>
        <v>0.40002000000094995</v>
      </c>
      <c r="O36">
        <f t="shared" ca="1" si="10"/>
        <v>0.35115445817775343</v>
      </c>
      <c r="Q36" s="1">
        <f t="shared" si="11"/>
        <v>44240.799700000003</v>
      </c>
    </row>
    <row r="37" spans="1:17" x14ac:dyDescent="0.2">
      <c r="A37" s="7" t="s">
        <v>50</v>
      </c>
      <c r="B37" s="8" t="s">
        <v>43</v>
      </c>
      <c r="C37" s="47">
        <v>59259.572200000002</v>
      </c>
      <c r="D37" s="48">
        <v>6.9999999999999999E-4</v>
      </c>
      <c r="E37">
        <f t="shared" si="6"/>
        <v>13743.711093102835</v>
      </c>
      <c r="F37" s="9">
        <f t="shared" si="7"/>
        <v>13743</v>
      </c>
      <c r="G37">
        <f t="shared" si="8"/>
        <v>0.39487000000372063</v>
      </c>
      <c r="K37">
        <f t="shared" si="9"/>
        <v>0.39487000000372063</v>
      </c>
      <c r="O37">
        <f t="shared" ca="1" si="10"/>
        <v>0.35117752055404489</v>
      </c>
      <c r="Q37" s="1">
        <f t="shared" si="11"/>
        <v>44241.072200000002</v>
      </c>
    </row>
    <row r="38" spans="1:17" x14ac:dyDescent="0.2">
      <c r="A38" s="7" t="s">
        <v>49</v>
      </c>
      <c r="B38" s="8" t="s">
        <v>43</v>
      </c>
      <c r="C38" s="47">
        <v>59303.160000000149</v>
      </c>
      <c r="D38" s="48" t="s">
        <v>52</v>
      </c>
      <c r="E38">
        <f t="shared" si="6"/>
        <v>13822.20524041086</v>
      </c>
      <c r="F38" s="9">
        <f t="shared" si="7"/>
        <v>13821.5</v>
      </c>
      <c r="G38">
        <f t="shared" si="8"/>
        <v>0.39162000014766818</v>
      </c>
      <c r="K38">
        <f t="shared" si="9"/>
        <v>0.39162000014766818</v>
      </c>
      <c r="O38">
        <f t="shared" ca="1" si="10"/>
        <v>0.35479831363179731</v>
      </c>
      <c r="Q38" s="1">
        <f t="shared" si="11"/>
        <v>44284.660000000149</v>
      </c>
    </row>
    <row r="39" spans="1:17" x14ac:dyDescent="0.2">
      <c r="A39" s="7" t="s">
        <v>49</v>
      </c>
      <c r="B39" s="8" t="s">
        <v>43</v>
      </c>
      <c r="C39" s="47">
        <v>59303.163999999873</v>
      </c>
      <c r="D39" s="48" t="s">
        <v>51</v>
      </c>
      <c r="E39">
        <f t="shared" si="6"/>
        <v>13822.212443723887</v>
      </c>
      <c r="F39" s="9">
        <f t="shared" si="7"/>
        <v>13821.5</v>
      </c>
      <c r="G39">
        <f t="shared" si="8"/>
        <v>0.3956199998719967</v>
      </c>
      <c r="K39">
        <f t="shared" si="9"/>
        <v>0.3956199998719967</v>
      </c>
      <c r="O39">
        <f t="shared" ca="1" si="10"/>
        <v>0.35479831363179731</v>
      </c>
      <c r="Q39" s="1">
        <f t="shared" si="11"/>
        <v>44284.663999999873</v>
      </c>
    </row>
    <row r="40" spans="1:17" x14ac:dyDescent="0.2">
      <c r="A40" s="7" t="s">
        <v>49</v>
      </c>
      <c r="B40" s="8" t="s">
        <v>43</v>
      </c>
      <c r="C40" s="47">
        <v>59303.166999999899</v>
      </c>
      <c r="D40" s="48" t="s">
        <v>53</v>
      </c>
      <c r="E40">
        <f t="shared" si="6"/>
        <v>13822.217846209078</v>
      </c>
      <c r="F40" s="9">
        <f t="shared" si="7"/>
        <v>13821.5</v>
      </c>
      <c r="G40">
        <f t="shared" si="8"/>
        <v>0.39861999989807373</v>
      </c>
      <c r="K40">
        <f t="shared" si="9"/>
        <v>0.39861999989807373</v>
      </c>
      <c r="O40">
        <f t="shared" ca="1" si="10"/>
        <v>0.35479831363179731</v>
      </c>
      <c r="Q40" s="1">
        <f t="shared" si="11"/>
        <v>44284.666999999899</v>
      </c>
    </row>
    <row r="41" spans="1:17" x14ac:dyDescent="0.2">
      <c r="A41" s="10" t="s">
        <v>54</v>
      </c>
      <c r="B41" s="11" t="s">
        <v>43</v>
      </c>
      <c r="C41" s="49">
        <v>59682.149600000121</v>
      </c>
      <c r="D41" s="2"/>
      <c r="E41">
        <f t="shared" ref="E41:E43" si="12">+(C41-C$7)/C$8</f>
        <v>14504.700468215598</v>
      </c>
      <c r="F41" s="9">
        <f t="shared" ref="F41:F43" si="13">ROUND(2*E41,0)/2-0.5</f>
        <v>14504</v>
      </c>
      <c r="G41">
        <f t="shared" ref="G41:G43" si="14">+C41-(C$7+F41*C$8)</f>
        <v>0.38897000012366334</v>
      </c>
      <c r="K41">
        <f t="shared" ref="K41:K43" si="15">+G41</f>
        <v>0.38897000012366334</v>
      </c>
      <c r="O41">
        <f t="shared" ref="O41:O43" ca="1" si="16">+C$11+C$12*$F41</f>
        <v>0.38627845726958115</v>
      </c>
      <c r="Q41" s="1">
        <f t="shared" ref="Q41:Q43" si="17">+C41-15018.5</f>
        <v>44663.649600000121</v>
      </c>
    </row>
    <row r="42" spans="1:17" x14ac:dyDescent="0.2">
      <c r="A42" s="10" t="s">
        <v>54</v>
      </c>
      <c r="B42" s="11" t="s">
        <v>43</v>
      </c>
      <c r="C42" s="49">
        <v>59682.150100000203</v>
      </c>
      <c r="D42" s="2"/>
      <c r="E42">
        <f t="shared" si="12"/>
        <v>14504.701368629936</v>
      </c>
      <c r="F42" s="9">
        <f t="shared" si="13"/>
        <v>14504</v>
      </c>
      <c r="G42">
        <f t="shared" si="14"/>
        <v>0.38947000020561973</v>
      </c>
      <c r="K42">
        <f t="shared" si="15"/>
        <v>0.38947000020561973</v>
      </c>
      <c r="O42">
        <f t="shared" ca="1" si="16"/>
        <v>0.38627845726958115</v>
      </c>
      <c r="Q42" s="1">
        <f t="shared" si="17"/>
        <v>44663.650100000203</v>
      </c>
    </row>
    <row r="43" spans="1:17" x14ac:dyDescent="0.2">
      <c r="A43" s="10" t="s">
        <v>54</v>
      </c>
      <c r="B43" s="11" t="s">
        <v>43</v>
      </c>
      <c r="C43" s="49">
        <v>59682.151500000153</v>
      </c>
      <c r="D43" s="2"/>
      <c r="E43">
        <f t="shared" si="12"/>
        <v>14504.70388978958</v>
      </c>
      <c r="F43" s="9">
        <f t="shared" si="13"/>
        <v>14504</v>
      </c>
      <c r="G43">
        <f t="shared" si="14"/>
        <v>0.39087000015570084</v>
      </c>
      <c r="K43">
        <f t="shared" si="15"/>
        <v>0.39087000015570084</v>
      </c>
      <c r="O43">
        <f t="shared" ca="1" si="16"/>
        <v>0.38627845726958115</v>
      </c>
      <c r="Q43" s="1">
        <f t="shared" si="17"/>
        <v>44663.651500000153</v>
      </c>
    </row>
    <row r="44" spans="1:17" x14ac:dyDescent="0.2">
      <c r="A44" s="50" t="s">
        <v>55</v>
      </c>
      <c r="B44" s="51" t="s">
        <v>43</v>
      </c>
      <c r="C44" s="49">
        <v>60233.548890000209</v>
      </c>
      <c r="D44" s="50">
        <v>5.9999999999999995E-4</v>
      </c>
      <c r="E44">
        <f t="shared" ref="E44" si="18">+(C44-C$7)/C$8</f>
        <v>15497.675958941492</v>
      </c>
      <c r="F44" s="9">
        <f t="shared" ref="F44" si="19">ROUND(2*E44,0)/2-0.5</f>
        <v>15497</v>
      </c>
      <c r="G44">
        <f t="shared" ref="G44" si="20">+C44-(C$7+F44*C$8)</f>
        <v>0.37536000020918436</v>
      </c>
      <c r="K44">
        <f t="shared" ref="K44" si="21">+G44</f>
        <v>0.37536000020918436</v>
      </c>
      <c r="O44">
        <f t="shared" ref="O44" ca="1" si="22">+C$11+C$12*$F44</f>
        <v>0.43208033658433481</v>
      </c>
      <c r="Q44" s="1">
        <f t="shared" ref="Q44" si="23">+C44-15018.5</f>
        <v>45215.048890000209</v>
      </c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2025-01-10T04:33:14Z</dcterms:modified>
</cp:coreProperties>
</file>