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3FA9153-58D0-4C9F-9372-8FFFD323A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68" i="1" l="1"/>
  <c r="G69" i="1"/>
  <c r="G70" i="1"/>
  <c r="E69" i="1"/>
  <c r="F69" i="1" s="1"/>
  <c r="Q69" i="1"/>
  <c r="E70" i="1"/>
  <c r="F70" i="1" s="1"/>
  <c r="Q70" i="1"/>
  <c r="C45" i="1"/>
  <c r="E45" i="1" s="1"/>
  <c r="F45" i="1" s="1"/>
  <c r="A45" i="1"/>
  <c r="E62" i="1"/>
  <c r="F62" i="1" s="1"/>
  <c r="G62" i="1" s="1"/>
  <c r="K62" i="1" s="1"/>
  <c r="Q62" i="1"/>
  <c r="E64" i="1"/>
  <c r="F64" i="1" s="1"/>
  <c r="G64" i="1" s="1"/>
  <c r="K64" i="1" s="1"/>
  <c r="Q64" i="1"/>
  <c r="E66" i="1"/>
  <c r="F66" i="1" s="1"/>
  <c r="Q66" i="1"/>
  <c r="E67" i="1"/>
  <c r="F67" i="1" s="1"/>
  <c r="G67" i="1" s="1"/>
  <c r="K67" i="1" s="1"/>
  <c r="Q67" i="1"/>
  <c r="E68" i="1"/>
  <c r="F68" i="1" s="1"/>
  <c r="Q68" i="1"/>
  <c r="E65" i="1"/>
  <c r="F65" i="1" s="1"/>
  <c r="G65" i="1" s="1"/>
  <c r="K65" i="1" s="1"/>
  <c r="Q6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3" i="1"/>
  <c r="F63" i="1" s="1"/>
  <c r="G63" i="1" s="1"/>
  <c r="K63" i="1" s="1"/>
  <c r="Q63" i="1"/>
  <c r="C9" i="1"/>
  <c r="D9" i="1"/>
  <c r="F14" i="1"/>
  <c r="C17" i="1"/>
  <c r="E21" i="1"/>
  <c r="F21" i="1" s="1"/>
  <c r="Q21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J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F30" i="1" s="1"/>
  <c r="G30" i="1" s="1"/>
  <c r="J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J33" i="1" s="1"/>
  <c r="Q33" i="1"/>
  <c r="E36" i="1"/>
  <c r="E21" i="2" s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4" i="1"/>
  <c r="F44" i="1" s="1"/>
  <c r="G44" i="1" s="1"/>
  <c r="K44" i="1" s="1"/>
  <c r="Q44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34" i="1"/>
  <c r="F34" i="1" s="1"/>
  <c r="G34" i="1" s="1"/>
  <c r="K34" i="1" s="1"/>
  <c r="Q34" i="1"/>
  <c r="E35" i="1"/>
  <c r="F35" i="1" s="1"/>
  <c r="G35" i="1" s="1"/>
  <c r="K35" i="1" s="1"/>
  <c r="Q35" i="1"/>
  <c r="E43" i="1"/>
  <c r="F43" i="1" s="1"/>
  <c r="G43" i="1" s="1"/>
  <c r="K43" i="1" s="1"/>
  <c r="Q43" i="1"/>
  <c r="E49" i="1"/>
  <c r="F49" i="1" s="1"/>
  <c r="G49" i="1" s="1"/>
  <c r="K49" i="1" s="1"/>
  <c r="Q49" i="1"/>
  <c r="E51" i="1"/>
  <c r="F51" i="1" s="1"/>
  <c r="G51" i="1" s="1"/>
  <c r="K51" i="1" s="1"/>
  <c r="Q51" i="1"/>
  <c r="E55" i="1"/>
  <c r="F55" i="1" s="1"/>
  <c r="G55" i="1" s="1"/>
  <c r="K55" i="1" s="1"/>
  <c r="Q55" i="1"/>
  <c r="E54" i="1"/>
  <c r="F54" i="1" s="1"/>
  <c r="G54" i="1" s="1"/>
  <c r="K54" i="1" s="1"/>
  <c r="Q54" i="1"/>
  <c r="E50" i="1"/>
  <c r="F50" i="1" s="1"/>
  <c r="G50" i="1" s="1"/>
  <c r="K50" i="1" s="1"/>
  <c r="Q50" i="1"/>
  <c r="E52" i="1"/>
  <c r="F52" i="1" s="1"/>
  <c r="G52" i="1" s="1"/>
  <c r="K52" i="1" s="1"/>
  <c r="Q52" i="1"/>
  <c r="E53" i="1"/>
  <c r="F53" i="1" s="1"/>
  <c r="G53" i="1" s="1"/>
  <c r="K53" i="1" s="1"/>
  <c r="Q53" i="1"/>
  <c r="A11" i="2"/>
  <c r="C11" i="2"/>
  <c r="E11" i="2"/>
  <c r="D11" i="2"/>
  <c r="G11" i="2"/>
  <c r="H11" i="2"/>
  <c r="B11" i="2"/>
  <c r="A12" i="2"/>
  <c r="D12" i="2"/>
  <c r="G12" i="2"/>
  <c r="C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H14" i="2"/>
  <c r="B14" i="2"/>
  <c r="A15" i="2"/>
  <c r="C15" i="2"/>
  <c r="D15" i="2"/>
  <c r="G15" i="2"/>
  <c r="H15" i="2"/>
  <c r="B15" i="2"/>
  <c r="A16" i="2"/>
  <c r="B16" i="2"/>
  <c r="C16" i="2"/>
  <c r="D16" i="2"/>
  <c r="G16" i="2"/>
  <c r="H16" i="2"/>
  <c r="A17" i="2"/>
  <c r="B17" i="2"/>
  <c r="D17" i="2"/>
  <c r="G17" i="2"/>
  <c r="C17" i="2"/>
  <c r="E17" i="2"/>
  <c r="H17" i="2"/>
  <c r="A18" i="2"/>
  <c r="B18" i="2"/>
  <c r="D18" i="2"/>
  <c r="G18" i="2"/>
  <c r="C18" i="2"/>
  <c r="H18" i="2"/>
  <c r="A19" i="2"/>
  <c r="C19" i="2"/>
  <c r="E19" i="2"/>
  <c r="D19" i="2"/>
  <c r="G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H21" i="2"/>
  <c r="A22" i="2"/>
  <c r="D22" i="2"/>
  <c r="G22" i="2"/>
  <c r="C22" i="2"/>
  <c r="H22" i="2"/>
  <c r="B22" i="2"/>
  <c r="A23" i="2"/>
  <c r="C23" i="2"/>
  <c r="E23" i="2"/>
  <c r="D23" i="2"/>
  <c r="G23" i="2"/>
  <c r="H23" i="2"/>
  <c r="B23" i="2"/>
  <c r="E12" i="2" l="1"/>
  <c r="Q45" i="1"/>
  <c r="E20" i="2"/>
  <c r="E14" i="2"/>
  <c r="E18" i="2"/>
  <c r="F36" i="1"/>
  <c r="G36" i="1" s="1"/>
  <c r="E15" i="2"/>
  <c r="E22" i="2"/>
  <c r="E16" i="2"/>
  <c r="F15" i="1"/>
  <c r="C11" i="1"/>
  <c r="C12" i="1"/>
  <c r="O69" i="1" l="1"/>
  <c r="O70" i="1"/>
  <c r="O45" i="1"/>
  <c r="O65" i="1"/>
  <c r="O24" i="1"/>
  <c r="O41" i="1"/>
  <c r="O38" i="1"/>
  <c r="O47" i="1"/>
  <c r="O46" i="1"/>
  <c r="O67" i="1"/>
  <c r="O43" i="1"/>
  <c r="O28" i="1"/>
  <c r="O60" i="1"/>
  <c r="O37" i="1"/>
  <c r="O68" i="1"/>
  <c r="O50" i="1"/>
  <c r="O64" i="1"/>
  <c r="O58" i="1"/>
  <c r="O49" i="1"/>
  <c r="O35" i="1"/>
  <c r="O39" i="1"/>
  <c r="O42" i="1"/>
  <c r="O31" i="1"/>
  <c r="O34" i="1"/>
  <c r="O30" i="1"/>
  <c r="O36" i="1"/>
  <c r="O53" i="1"/>
  <c r="O66" i="1"/>
  <c r="O63" i="1"/>
  <c r="O22" i="1"/>
  <c r="O48" i="1"/>
  <c r="O26" i="1"/>
  <c r="O27" i="1"/>
  <c r="O52" i="1"/>
  <c r="O32" i="1"/>
  <c r="O62" i="1"/>
  <c r="O57" i="1"/>
  <c r="C15" i="1"/>
  <c r="O23" i="1"/>
  <c r="O33" i="1"/>
  <c r="O29" i="1"/>
  <c r="O44" i="1"/>
  <c r="O56" i="1"/>
  <c r="O54" i="1"/>
  <c r="O40" i="1"/>
  <c r="O55" i="1"/>
  <c r="O21" i="1"/>
  <c r="O51" i="1"/>
  <c r="O59" i="1"/>
  <c r="O25" i="1"/>
  <c r="O61" i="1"/>
  <c r="C16" i="1"/>
  <c r="D18" i="1" s="1"/>
  <c r="J36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<sst xmlns="http://schemas.openxmlformats.org/spreadsheetml/2006/main" count="274" uniqueCount="149">
  <si>
    <t>QT UMa / GSC 3429-0424</t>
  </si>
  <si>
    <t>System Type:</t>
  </si>
  <si>
    <t>EW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</si>
  <si>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</si>
  <si>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</si>
  <si>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</si>
  <si>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</si>
  <si>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</si>
  <si>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</si>
  <si>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 5570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</si>
  <si>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</si>
  <si>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</si>
  <si>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</si>
  <si>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</si>
  <si>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</si>
  <si>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</si>
  <si>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</si>
  <si>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</si>
  <si>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</si>
  <si>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</si>
  <si>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</si>
  <si>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</si>
  <si>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</si>
  <si>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</si>
  <si>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</si>
  <si>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</si>
  <si>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</si>
  <si>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</si>
  <si>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</si>
  <si>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</si>
  <si>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</si>
  <si>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</si>
  <si>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</si>
  <si>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</si>
  <si>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</si>
  <si>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</si>
  <si>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</si>
  <si>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</si>
  <si>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</si>
  <si>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</si>
  <si>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</si>
  <si>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</si>
  <si>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</si>
  <si>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6050</t>
  </si>
  <si>
    <t>IBVS 6029</t>
  </si>
  <si>
    <t>II</t>
  </si>
  <si>
    <t>IBVS 6084</t>
  </si>
  <si>
    <t>I</t>
  </si>
  <si>
    <t>IBVS 6063</t>
  </si>
  <si>
    <t>IBVS 6118</t>
  </si>
  <si>
    <t>IBVS 6149</t>
  </si>
  <si>
    <t>OEJV 0168</t>
  </si>
  <si>
    <t>IBVS 6157</t>
  </si>
  <si>
    <t>IBVS 6152</t>
  </si>
  <si>
    <t>IBVS 6196</t>
  </si>
  <si>
    <t>VSB 060</t>
  </si>
  <si>
    <t>Rc</t>
  </si>
  <si>
    <t>OEJV 0179</t>
  </si>
  <si>
    <t>JAVSO..44..164</t>
  </si>
  <si>
    <t>JAVSO..44…69</t>
  </si>
  <si>
    <t>VSB-064</t>
  </si>
  <si>
    <t>V</t>
  </si>
  <si>
    <t>VSB-066</t>
  </si>
  <si>
    <t>JAVSO..46..184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</si>
  <si>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</si>
  <si>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</si>
  <si>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</si>
  <si>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</si>
  <si>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</si>
  <si>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</si>
  <si>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</si>
  <si>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2455932.8144 </t>
  </si>
  <si>
    <t> 06.01.2012 07:32 </t>
  </si>
  <si>
    <t> -0.0843 </t>
  </si>
  <si>
    <t>C </t>
  </si>
  <si>
    <t> R.Nelson </t>
  </si>
  <si>
    <t>IBVS 6050 </t>
  </si>
  <si>
    <t>2455944.8923 </t>
  </si>
  <si>
    <t> 18.01.2012 09:24 </t>
  </si>
  <si>
    <t> -0.0812 </t>
  </si>
  <si>
    <t> R.Diethelm </t>
  </si>
  <si>
    <t>IBVS 6029 </t>
  </si>
  <si>
    <t>2456002.6601 </t>
  </si>
  <si>
    <t> 16.03.2012 03:50 </t>
  </si>
  <si>
    <t> -0.0831 </t>
  </si>
  <si>
    <t>-I</t>
  </si>
  <si>
    <t> K. &amp; M.Rätz </t>
  </si>
  <si>
    <t>BAVM 232 </t>
  </si>
  <si>
    <t>2456029.6547 </t>
  </si>
  <si>
    <t> 12.04.2012 03:42 </t>
  </si>
  <si>
    <t>9431</t>
  </si>
  <si>
    <t> -0.0793 </t>
  </si>
  <si>
    <t>2456311.8814 </t>
  </si>
  <si>
    <t> 19.01.2013 09:09 </t>
  </si>
  <si>
    <t>10027</t>
  </si>
  <si>
    <t> -0.0717 </t>
  </si>
  <si>
    <t>IBVS 6063 </t>
  </si>
  <si>
    <t>2456698.5269 </t>
  </si>
  <si>
    <t> 10.02.2014 00:38 </t>
  </si>
  <si>
    <t>10843.5</t>
  </si>
  <si>
    <t> -0.0569 </t>
  </si>
  <si>
    <t> F.Agerer </t>
  </si>
  <si>
    <t>BAVM 234 </t>
  </si>
  <si>
    <t>2456706.5770 </t>
  </si>
  <si>
    <t> 18.02.2014 01:50 </t>
  </si>
  <si>
    <t>10860.5</t>
  </si>
  <si>
    <t> -0.0567 </t>
  </si>
  <si>
    <t>BAVM 238 </t>
  </si>
  <si>
    <t>2456709.4202 </t>
  </si>
  <si>
    <t> 20.02.2014 22:05 </t>
  </si>
  <si>
    <t>10866.5</t>
  </si>
  <si>
    <t> -0.0546 </t>
  </si>
  <si>
    <t>2456711.3104 </t>
  </si>
  <si>
    <t> 22.02.2014 19:26 </t>
  </si>
  <si>
    <t>10870.5</t>
  </si>
  <si>
    <t> -0.0585 </t>
  </si>
  <si>
    <t>2456728.5957 </t>
  </si>
  <si>
    <t> 12.03.2014 02:17 </t>
  </si>
  <si>
    <t>10907</t>
  </si>
  <si>
    <t> -0.0568 </t>
  </si>
  <si>
    <t> M.&amp; K.Rätz </t>
  </si>
  <si>
    <t>BAVM 241 (=IBVS 6157) </t>
  </si>
  <si>
    <t>2457035.4491 </t>
  </si>
  <si>
    <t> 12.01.2015 22:46 </t>
  </si>
  <si>
    <t>11555</t>
  </si>
  <si>
    <t> -0.0456 </t>
  </si>
  <si>
    <t>BAVM 239 </t>
  </si>
  <si>
    <t>2457035.6872 </t>
  </si>
  <si>
    <t> 13.01.2015 04:29 </t>
  </si>
  <si>
    <t>11555.5</t>
  </si>
  <si>
    <t> -0.0443 </t>
  </si>
  <si>
    <t>2457090.3807 </t>
  </si>
  <si>
    <t> 08.03.2015 21:08 </t>
  </si>
  <si>
    <t>11671</t>
  </si>
  <si>
    <t> -0.0426 </t>
  </si>
  <si>
    <t>JBAV, 60</t>
  </si>
  <si>
    <t>JBAV, 63</t>
  </si>
  <si>
    <t>JAAVSO, 50, 255</t>
  </si>
  <si>
    <t>JBAV, 79</t>
  </si>
  <si>
    <t>JAAVSO, 51, 250</t>
  </si>
  <si>
    <t>BAD??</t>
  </si>
  <si>
    <t>OEJV 250</t>
  </si>
  <si>
    <t>Next ToM-P</t>
  </si>
  <si>
    <t>Next ToM-S</t>
  </si>
  <si>
    <t>11.20-12.17</t>
  </si>
  <si>
    <t>VSX</t>
  </si>
  <si>
    <t>Old data</t>
  </si>
  <si>
    <t>Mag g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</si>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</sst>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0.0000"/>
    <numFmt numFmtId="166" formatCode="d/mm/yyyy;@"/>
    <numFmt numFmtId="167" formatCode="0.00000"/>
  </numFmts>
  <fonts count="19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</cellStyleXfs>
  <cellXfs count="9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7" fillId="0" borderId="0" xfId="0" applyFont="1" applyAlignment="1"/>
    <xf numFmtId="0" fontId="0" fillId="0" borderId="0" xfId="0" applyAlignment="1">
      <alignment horizontal="left"/>
    </xf>
    <xf numFmtId="0" fontId="7" fillId="2" borderId="0" xfId="0" applyFont="1" applyFill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8" fillId="0" borderId="0" xfId="6" applyFont="1" applyAlignment="1">
      <alignment wrapText="1"/>
    </xf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left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center"/>
    </xf>
    <xf numFmtId="0" fontId="8" fillId="0" borderId="0" xfId="7" applyFont="1"/>
    <xf numFmtId="0" fontId="8" fillId="0" borderId="0" xfId="7" applyFont="1" applyAlignment="1">
      <alignment horizontal="center"/>
    </xf>
    <xf numFmtId="0" fontId="8" fillId="0" borderId="0" xfId="7" applyFont="1" applyAlignment="1">
      <alignment horizontal="left"/>
    </xf>
    <xf numFmtId="0" fontId="10" fillId="0" borderId="0" xfId="8" applyFont="1" applyAlignment="1">
      <alignment horizontal="left" vertical="center"/>
    </xf>
    <xf numFmtId="0" fontId="10" fillId="0" borderId="0" xfId="8" applyFont="1" applyAlignment="1">
      <alignment horizontal="center" vertical="center"/>
    </xf>
    <xf numFmtId="0" fontId="10" fillId="0" borderId="0" xfId="8" applyFont="1" applyAlignment="1">
      <alignment horizontal="left"/>
    </xf>
    <xf numFmtId="0" fontId="10" fillId="0" borderId="0" xfId="8" applyFont="1" applyAlignment="1">
      <alignment horizontal="center"/>
    </xf>
    <xf numFmtId="165" fontId="10" fillId="0" borderId="0" xfId="8" applyNumberFormat="1" applyFont="1" applyAlignment="1">
      <alignment horizontal="left" vertical="top"/>
    </xf>
    <xf numFmtId="0" fontId="10" fillId="0" borderId="0" xfId="8" applyFont="1" applyAlignment="1">
      <alignment horizontal="left" vertical="top"/>
    </xf>
    <xf numFmtId="0" fontId="11" fillId="0" borderId="0" xfId="9" applyFont="1" applyAlignment="1">
      <alignment horizontal="left"/>
    </xf>
    <xf numFmtId="0" fontId="11" fillId="0" borderId="0" xfId="9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8" fillId="3" borderId="12" xfId="0" applyFont="1" applyFill="1" applyBorder="1" applyAlignment="1">
      <alignment horizontal="left" vertical="top" wrapText="1" indent="1"/>
    </xf>
    <xf numFmtId="0" fontId="8" fillId="3" borderId="12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right" vertical="top" wrapText="1"/>
    </xf>
    <xf numFmtId="0" fontId="13" fillId="3" borderId="12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3" fontId="15" fillId="0" borderId="0" xfId="10" applyFont="1" applyBorder="1"/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 vertical="center" wrapText="1"/>
    </xf>
    <xf numFmtId="167" fontId="15" fillId="0" borderId="0" xfId="0" applyNumberFormat="1" applyFont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vertical="center"/>
    </xf>
    <xf numFmtId="0" fontId="0" fillId="0" borderId="5" xfId="0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3" fontId="15" fillId="0" borderId="0" xfId="1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17" xfId="0" applyFill="1" applyBorder="1" applyAlignment="1">
      <alignment horizontal="right" vertical="center"/>
    </xf>
    <xf numFmtId="0" fontId="0" fillId="4" borderId="18" xfId="0" applyFill="1" applyBorder="1" applyAlignment="1">
      <alignment horizontal="center" vertical="center"/>
    </xf>
    <xf numFmtId="0" fontId="17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22" fontId="18" fillId="0" borderId="20" xfId="0" applyNumberFormat="1" applyFont="1" applyBorder="1" applyAlignment="1">
      <alignment vertical="center"/>
    </xf>
    <xf numFmtId="22" fontId="18" fillId="0" borderId="21" xfId="0" applyNumberFormat="1" applyFont="1" applyBorder="1" applyAlignment="1">
      <alignment vertical="center"/>
    </xf>
    <xf numFmtId="0" fontId="17" fillId="0" borderId="22" xfId="0" applyFont="1" applyBorder="1" applyAlignment="1">
      <alignment horizontal="right" vertical="center"/>
    </xf>
    <xf numFmtId="167" fontId="15" fillId="0" borderId="0" xfId="0" applyNumberFormat="1" applyFont="1" applyAlignment="1" applyProtection="1">
      <alignment horizontal="left"/>
      <protection locked="0"/>
    </xf>
  </cellXfs>
  <cellStyles count="11">
    <cellStyle name="Comma" xfId="10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UMa - O-C Diagr.</a:t>
            </a:r>
          </a:p>
        </c:rich>
      </c:tx>
      <c:layout>
        <c:manualLayout>
          <c:xMode val="edge"/>
          <c:yMode val="edge"/>
          <c:x val="0.3774436090225564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1328320802004"/>
          <c:y val="0.14414477469595582"/>
          <c:w val="0.82656641604010028"/>
          <c:h val="0.63964121601916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Active!$H$21:$H$539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81-4F82-BFD5-A642D5693D9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Active!$I$21:$I$539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81-4F82-BFD5-A642D5693D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Active!$J$21:$J$539</c:f>
              <c:numCache>
                <c:formatCode>General</c:formatCode>
                <c:ptCount val="519"/>
                <c:pt idx="3">
                  <c:v>0.23598499999934575</c:v>
                </c:pt>
                <c:pt idx="6">
                  <c:v>0.23619584999687504</c:v>
                </c:pt>
                <c:pt idx="7">
                  <c:v>0.23612094999407418</c:v>
                </c:pt>
                <c:pt idx="8">
                  <c:v>0.23808274999464629</c:v>
                </c:pt>
                <c:pt idx="9">
                  <c:v>0.23412395000195829</c:v>
                </c:pt>
                <c:pt idx="12">
                  <c:v>0.23522489999595564</c:v>
                </c:pt>
                <c:pt idx="15">
                  <c:v>0.23489929999777814</c:v>
                </c:pt>
                <c:pt idx="16">
                  <c:v>0.2362294499980635</c:v>
                </c:pt>
                <c:pt idx="17">
                  <c:v>0.23589409999840427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81-4F82-BFD5-A642D5693D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Active!$K$21:$K$539</c:f>
              <c:numCache>
                <c:formatCode>General</c:formatCode>
                <c:ptCount val="519"/>
                <c:pt idx="1">
                  <c:v>0.23739075000048615</c:v>
                </c:pt>
                <c:pt idx="2">
                  <c:v>0.24002839999593562</c:v>
                </c:pt>
                <c:pt idx="4">
                  <c:v>0.23882209999283077</c:v>
                </c:pt>
                <c:pt idx="5">
                  <c:v>0.23586089999298565</c:v>
                </c:pt>
                <c:pt idx="10">
                  <c:v>0.23625475000153529</c:v>
                </c:pt>
                <c:pt idx="11">
                  <c:v>0.23646474999986822</c:v>
                </c:pt>
                <c:pt idx="13">
                  <c:v>0.23637569999846164</c:v>
                </c:pt>
                <c:pt idx="14">
                  <c:v>0.23580584999581333</c:v>
                </c:pt>
                <c:pt idx="18">
                  <c:v>0.23684374999720603</c:v>
                </c:pt>
                <c:pt idx="19">
                  <c:v>0.23576079999475041</c:v>
                </c:pt>
                <c:pt idx="20">
                  <c:v>0.23595144999853801</c:v>
                </c:pt>
                <c:pt idx="21">
                  <c:v>0.23758159999852069</c:v>
                </c:pt>
                <c:pt idx="22">
                  <c:v>0.23722019999695476</c:v>
                </c:pt>
                <c:pt idx="23">
                  <c:v>0.23791499999788357</c:v>
                </c:pt>
                <c:pt idx="25">
                  <c:v>0.23665169999731006</c:v>
                </c:pt>
                <c:pt idx="26">
                  <c:v>0.23717739999847254</c:v>
                </c:pt>
                <c:pt idx="27">
                  <c:v>0.23414254999806872</c:v>
                </c:pt>
                <c:pt idx="28">
                  <c:v>0.23747269999876153</c:v>
                </c:pt>
                <c:pt idx="29">
                  <c:v>0.23905684986675624</c:v>
                </c:pt>
                <c:pt idx="30">
                  <c:v>0.23947124999540392</c:v>
                </c:pt>
                <c:pt idx="31">
                  <c:v>0.23928399999567773</c:v>
                </c:pt>
                <c:pt idx="32">
                  <c:v>0.2398636500001885</c:v>
                </c:pt>
                <c:pt idx="33">
                  <c:v>0.24112229999445844</c:v>
                </c:pt>
                <c:pt idx="34">
                  <c:v>0.23841575018741423</c:v>
                </c:pt>
                <c:pt idx="35">
                  <c:v>0.23989824999443954</c:v>
                </c:pt>
                <c:pt idx="36">
                  <c:v>0.24091884999506874</c:v>
                </c:pt>
                <c:pt idx="37">
                  <c:v>0.24184899999818299</c:v>
                </c:pt>
                <c:pt idx="38">
                  <c:v>0.24119769999379059</c:v>
                </c:pt>
                <c:pt idx="39">
                  <c:v>0.2400278499990236</c:v>
                </c:pt>
                <c:pt idx="40">
                  <c:v>0.23672860000078799</c:v>
                </c:pt>
                <c:pt idx="41">
                  <c:v>0.24165409999113763</c:v>
                </c:pt>
                <c:pt idx="42">
                  <c:v>0.24193809999269433</c:v>
                </c:pt>
                <c:pt idx="43">
                  <c:v>0.24036194999644067</c:v>
                </c:pt>
                <c:pt idx="44">
                  <c:v>0.24410340009490028</c:v>
                </c:pt>
                <c:pt idx="46">
                  <c:v>0.2398431499968865</c:v>
                </c:pt>
                <c:pt idx="48">
                  <c:v>0.23956994999753078</c:v>
                </c:pt>
                <c:pt idx="49">
                  <c:v>0.23836134999874048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81-4F82-BFD5-A642D5693D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Active!$L$21:$L$539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81-4F82-BFD5-A642D5693D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Active!$M$21:$M$539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81-4F82-BFD5-A642D5693D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Active!$N$21:$N$539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81-4F82-BFD5-A642D5693D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Active!$O$21:$O$539</c:f>
              <c:numCache>
                <c:formatCode>General</c:formatCode>
                <c:ptCount val="519"/>
                <c:pt idx="0">
                  <c:v>0.23068303055462078</c:v>
                </c:pt>
                <c:pt idx="1">
                  <c:v>0.23581860512197331</c:v>
                </c:pt>
                <c:pt idx="2">
                  <c:v>0.23583280024976774</c:v>
                </c:pt>
                <c:pt idx="3">
                  <c:v>0.2359007141945097</c:v>
                </c:pt>
                <c:pt idx="4">
                  <c:v>0.23593244448016784</c:v>
                </c:pt>
                <c:pt idx="5">
                  <c:v>0.23626422080038267</c:v>
                </c:pt>
                <c:pt idx="6">
                  <c:v>0.23671874322564346</c:v>
                </c:pt>
                <c:pt idx="7">
                  <c:v>0.23672820664417307</c:v>
                </c:pt>
                <c:pt idx="8">
                  <c:v>0.23673154667424237</c:v>
                </c:pt>
                <c:pt idx="9">
                  <c:v>0.23673377336095522</c:v>
                </c:pt>
                <c:pt idx="10">
                  <c:v>0.23675381354137087</c:v>
                </c:pt>
                <c:pt idx="11">
                  <c:v>0.23675381354137087</c:v>
                </c:pt>
                <c:pt idx="12">
                  <c:v>0.23675409187720997</c:v>
                </c:pt>
                <c:pt idx="13">
                  <c:v>0.23710813506455333</c:v>
                </c:pt>
                <c:pt idx="14">
                  <c:v>0.23710841340039246</c:v>
                </c:pt>
                <c:pt idx="15">
                  <c:v>0.2371148151246919</c:v>
                </c:pt>
                <c:pt idx="16">
                  <c:v>0.237115093460531</c:v>
                </c:pt>
                <c:pt idx="17">
                  <c:v>0.23717938903936459</c:v>
                </c:pt>
                <c:pt idx="18">
                  <c:v>0.23721585103428752</c:v>
                </c:pt>
                <c:pt idx="19">
                  <c:v>0.23722893281872554</c:v>
                </c:pt>
                <c:pt idx="20">
                  <c:v>0.2375270305024085</c:v>
                </c:pt>
                <c:pt idx="21">
                  <c:v>0.2375273088382476</c:v>
                </c:pt>
                <c:pt idx="22">
                  <c:v>0.23756182248229682</c:v>
                </c:pt>
                <c:pt idx="23">
                  <c:v>0.23757072922914821</c:v>
                </c:pt>
                <c:pt idx="24">
                  <c:v>0.23759828447721976</c:v>
                </c:pt>
                <c:pt idx="25">
                  <c:v>0.23762027300850916</c:v>
                </c:pt>
                <c:pt idx="26">
                  <c:v>0.2376308497703952</c:v>
                </c:pt>
                <c:pt idx="27">
                  <c:v>0.23765896169014494</c:v>
                </c:pt>
                <c:pt idx="28">
                  <c:v>0.23765924002598404</c:v>
                </c:pt>
                <c:pt idx="29">
                  <c:v>0.23798238793518661</c:v>
                </c:pt>
                <c:pt idx="30">
                  <c:v>0.23800910817574084</c:v>
                </c:pt>
                <c:pt idx="31">
                  <c:v>0.23803276672206486</c:v>
                </c:pt>
                <c:pt idx="32">
                  <c:v>0.2380692287169878</c:v>
                </c:pt>
                <c:pt idx="33">
                  <c:v>0.23845639386918485</c:v>
                </c:pt>
                <c:pt idx="34">
                  <c:v>0.23846279559348429</c:v>
                </c:pt>
                <c:pt idx="35">
                  <c:v>0.23972922366141849</c:v>
                </c:pt>
                <c:pt idx="36">
                  <c:v>0.23973033700477492</c:v>
                </c:pt>
                <c:pt idx="37">
                  <c:v>0.23973061534061402</c:v>
                </c:pt>
                <c:pt idx="38">
                  <c:v>0.2397467588192822</c:v>
                </c:pt>
                <c:pt idx="39">
                  <c:v>0.2397470371551213</c:v>
                </c:pt>
                <c:pt idx="40">
                  <c:v>0.24002676467342327</c:v>
                </c:pt>
                <c:pt idx="41">
                  <c:v>0.24012974893389263</c:v>
                </c:pt>
                <c:pt idx="42">
                  <c:v>0.24022994983597093</c:v>
                </c:pt>
                <c:pt idx="43">
                  <c:v>0.24027420523438886</c:v>
                </c:pt>
                <c:pt idx="44">
                  <c:v>0.24042534159502366</c:v>
                </c:pt>
                <c:pt idx="45">
                  <c:v>0.24060570321876459</c:v>
                </c:pt>
                <c:pt idx="46">
                  <c:v>0.24061043492802942</c:v>
                </c:pt>
                <c:pt idx="47">
                  <c:v>0.24069198732888761</c:v>
                </c:pt>
                <c:pt idx="48">
                  <c:v>0.2410869458845796</c:v>
                </c:pt>
                <c:pt idx="49">
                  <c:v>0.24110809940835168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81-4F82-BFD5-A642D5693D9C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Active!$P$21:$P$539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27-41DF-8D91-71F01039A6B8}"/>
            </c:ext>
          </c:extLst>
        </c:ser>
        <c:ser>
          <c:idx val="10"/>
          <c:order val="10"/>
          <c:tx>
            <c:strRef>
              <c:f>Active!$R$20</c:f>
              <c:strCache>
                <c:ptCount val="1"/>
              </c:strCache>
            </c:strRef>
          </c:tx>
          <c:spPr>
            <a:ln w="19050">
              <a:noFill/>
            </a:ln>
          </c:spP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Active!$R$21:$R$539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27-41DF-8D91-71F01039A6B8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Active!$S$21:$S$539</c:f>
              <c:numCache>
                <c:formatCode>General</c:formatCode>
                <c:ptCount val="519"/>
                <c:pt idx="0">
                  <c:v>-3.5859100004017819E-2</c:v>
                </c:pt>
                <c:pt idx="45">
                  <c:v>0.11965019999479409</c:v>
                </c:pt>
                <c:pt idx="47">
                  <c:v>0.12047020000318298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27-41DF-8D91-71F01039A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101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  <c:pt idx="48">
                        <c:v>6266.5</c:v>
                      </c:pt>
                      <c:pt idx="49">
                        <c:v>6304.5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Active!$Q$21:$Q$539</c15:sqref>
                        </c15:formulaRef>
                      </c:ext>
                    </c:extLst>
                    <c:numCache>
                      <c:formatCode>d/mm/yyyy;@</c:formatCode>
                      <c:ptCount val="519"/>
                      <c:pt idx="0">
                        <c:v>36545.400647800001</c:v>
                      </c:pt>
                      <c:pt idx="1">
                        <c:v>40914.314400000003</c:v>
                      </c:pt>
                      <c:pt idx="2">
                        <c:v>40926.3923</c:v>
                      </c:pt>
                      <c:pt idx="3">
                        <c:v>40984.160100000001</c:v>
                      </c:pt>
                      <c:pt idx="4">
                        <c:v>41011.154699999999</c:v>
                      </c:pt>
                      <c:pt idx="5">
                        <c:v>41293.381399999998</c:v>
                      </c:pt>
                      <c:pt idx="6">
                        <c:v>41680.026899999997</c:v>
                      </c:pt>
                      <c:pt idx="7">
                        <c:v>41688.076999999997</c:v>
                      </c:pt>
                      <c:pt idx="8">
                        <c:v>41690.9202</c:v>
                      </c:pt>
                      <c:pt idx="9">
                        <c:v>41692.810400000002</c:v>
                      </c:pt>
                      <c:pt idx="10">
                        <c:v>41709.859960000002</c:v>
                      </c:pt>
                      <c:pt idx="11">
                        <c:v>41709.86017</c:v>
                      </c:pt>
                      <c:pt idx="12">
                        <c:v>41710.095699999998</c:v>
                      </c:pt>
                      <c:pt idx="13">
                        <c:v>42011.268100000001</c:v>
                      </c:pt>
                      <c:pt idx="14">
                        <c:v>42011.504300000001</c:v>
                      </c:pt>
                      <c:pt idx="15">
                        <c:v>42016.949099999998</c:v>
                      </c:pt>
                      <c:pt idx="16">
                        <c:v>42017.1872</c:v>
                      </c:pt>
                      <c:pt idx="17">
                        <c:v>42071.880700000002</c:v>
                      </c:pt>
                      <c:pt idx="18">
                        <c:v>42102.898500000003</c:v>
                      </c:pt>
                      <c:pt idx="19">
                        <c:v>42114.025600000001</c:v>
                      </c:pt>
                      <c:pt idx="20">
                        <c:v>42367.606299999999</c:v>
                      </c:pt>
                      <c:pt idx="21">
                        <c:v>42367.844700000001</c:v>
                      </c:pt>
                      <c:pt idx="22">
                        <c:v>42397.203800000003</c:v>
                      </c:pt>
                      <c:pt idx="23">
                        <c:v>42404.781130000003</c:v>
                      </c:pt>
                      <c:pt idx="24">
                        <c:v>42428.220200000003</c:v>
                      </c:pt>
                      <c:pt idx="25">
                        <c:v>42446.924899999998</c:v>
                      </c:pt>
                      <c:pt idx="26">
                        <c:v>42455.922680000003</c:v>
                      </c:pt>
                      <c:pt idx="27">
                        <c:v>42479.833400000003</c:v>
                      </c:pt>
                      <c:pt idx="28">
                        <c:v>42480.073499999999</c:v>
                      </c:pt>
                      <c:pt idx="29">
                        <c:v>42754.964879999869</c:v>
                      </c:pt>
                      <c:pt idx="30">
                        <c:v>42777.695200000002</c:v>
                      </c:pt>
                      <c:pt idx="31">
                        <c:v>42797.820449999999</c:v>
                      </c:pt>
                      <c:pt idx="32">
                        <c:v>42828.837880000006</c:v>
                      </c:pt>
                      <c:pt idx="33">
                        <c:v>43158.186000000002</c:v>
                      </c:pt>
                      <c:pt idx="34">
                        <c:v>43163.62900000019</c:v>
                      </c:pt>
                      <c:pt idx="35">
                        <c:v>44240.933299999997</c:v>
                      </c:pt>
                      <c:pt idx="36">
                        <c:v>44241.881399999998</c:v>
                      </c:pt>
                      <c:pt idx="37">
                        <c:v>44242.119100000004</c:v>
                      </c:pt>
                      <c:pt idx="38">
                        <c:v>44255.8511</c:v>
                      </c:pt>
                      <c:pt idx="39">
                        <c:v>44256.0867</c:v>
                      </c:pt>
                      <c:pt idx="40">
                        <c:v>44494.037100000001</c:v>
                      </c:pt>
                      <c:pt idx="41">
                        <c:v>44581.646869999997</c:v>
                      </c:pt>
                      <c:pt idx="42">
                        <c:v>44666.884299999998</c:v>
                      </c:pt>
                      <c:pt idx="43">
                        <c:v>44704.529130000003</c:v>
                      </c:pt>
                      <c:pt idx="44">
                        <c:v>44833.098900000099</c:v>
                      </c:pt>
                      <c:pt idx="45">
                        <c:v>44986.52347</c:v>
                      </c:pt>
                      <c:pt idx="46">
                        <c:v>44990.546589999998</c:v>
                      </c:pt>
                      <c:pt idx="47">
                        <c:v>45059.9202</c:v>
                      </c:pt>
                      <c:pt idx="48">
                        <c:v>45395.8963</c:v>
                      </c:pt>
                      <c:pt idx="49">
                        <c:v>45413.889600000002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B27-41DF-8D91-71F01039A6B8}"/>
                  </c:ext>
                </c:extLst>
              </c15:ser>
            </c15:filteredScatterSeries>
          </c:ext>
        </c:extLst>
      </c:scatterChart>
      <c:valAx>
        <c:axId val="934891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8195488721801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30000000000000004"/>
          <c:min val="4.000000000000000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10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UMa - O-C Diagr.</a:t>
            </a:r>
          </a:p>
        </c:rich>
      </c:tx>
      <c:layout>
        <c:manualLayout>
          <c:xMode val="edge"/>
          <c:yMode val="edge"/>
          <c:x val="0.3753758482892340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78226257753"/>
          <c:y val="0.16367296902258474"/>
          <c:w val="0.82732858843095058"/>
          <c:h val="0.620759426029830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Active!$H$21:$H$539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1-4F94-86F8-A11D146BC3B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Active!$I$21:$I$539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31-4F94-86F8-A11D146BC3B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Active!$J$21:$J$539</c:f>
              <c:numCache>
                <c:formatCode>General</c:formatCode>
                <c:ptCount val="519"/>
                <c:pt idx="3">
                  <c:v>0.23598499999934575</c:v>
                </c:pt>
                <c:pt idx="6">
                  <c:v>0.23619584999687504</c:v>
                </c:pt>
                <c:pt idx="7">
                  <c:v>0.23612094999407418</c:v>
                </c:pt>
                <c:pt idx="8">
                  <c:v>0.23808274999464629</c:v>
                </c:pt>
                <c:pt idx="9">
                  <c:v>0.23412395000195829</c:v>
                </c:pt>
                <c:pt idx="12">
                  <c:v>0.23522489999595564</c:v>
                </c:pt>
                <c:pt idx="15">
                  <c:v>0.23489929999777814</c:v>
                </c:pt>
                <c:pt idx="16">
                  <c:v>0.2362294499980635</c:v>
                </c:pt>
                <c:pt idx="17">
                  <c:v>0.23589409999840427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31-4F94-86F8-A11D146BC3B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Active!$K$21:$K$539</c:f>
              <c:numCache>
                <c:formatCode>General</c:formatCode>
                <c:ptCount val="519"/>
                <c:pt idx="1">
                  <c:v>0.23739075000048615</c:v>
                </c:pt>
                <c:pt idx="2">
                  <c:v>0.24002839999593562</c:v>
                </c:pt>
                <c:pt idx="4">
                  <c:v>0.23882209999283077</c:v>
                </c:pt>
                <c:pt idx="5">
                  <c:v>0.23586089999298565</c:v>
                </c:pt>
                <c:pt idx="10">
                  <c:v>0.23625475000153529</c:v>
                </c:pt>
                <c:pt idx="11">
                  <c:v>0.23646474999986822</c:v>
                </c:pt>
                <c:pt idx="13">
                  <c:v>0.23637569999846164</c:v>
                </c:pt>
                <c:pt idx="14">
                  <c:v>0.23580584999581333</c:v>
                </c:pt>
                <c:pt idx="18">
                  <c:v>0.23684374999720603</c:v>
                </c:pt>
                <c:pt idx="19">
                  <c:v>0.23576079999475041</c:v>
                </c:pt>
                <c:pt idx="20">
                  <c:v>0.23595144999853801</c:v>
                </c:pt>
                <c:pt idx="21">
                  <c:v>0.23758159999852069</c:v>
                </c:pt>
                <c:pt idx="22">
                  <c:v>0.23722019999695476</c:v>
                </c:pt>
                <c:pt idx="23">
                  <c:v>0.23791499999788357</c:v>
                </c:pt>
                <c:pt idx="25">
                  <c:v>0.23665169999731006</c:v>
                </c:pt>
                <c:pt idx="26">
                  <c:v>0.23717739999847254</c:v>
                </c:pt>
                <c:pt idx="27">
                  <c:v>0.23414254999806872</c:v>
                </c:pt>
                <c:pt idx="28">
                  <c:v>0.23747269999876153</c:v>
                </c:pt>
                <c:pt idx="29">
                  <c:v>0.23905684986675624</c:v>
                </c:pt>
                <c:pt idx="30">
                  <c:v>0.23947124999540392</c:v>
                </c:pt>
                <c:pt idx="31">
                  <c:v>0.23928399999567773</c:v>
                </c:pt>
                <c:pt idx="32">
                  <c:v>0.2398636500001885</c:v>
                </c:pt>
                <c:pt idx="33">
                  <c:v>0.24112229999445844</c:v>
                </c:pt>
                <c:pt idx="34">
                  <c:v>0.23841575018741423</c:v>
                </c:pt>
                <c:pt idx="35">
                  <c:v>0.23989824999443954</c:v>
                </c:pt>
                <c:pt idx="36">
                  <c:v>0.24091884999506874</c:v>
                </c:pt>
                <c:pt idx="37">
                  <c:v>0.24184899999818299</c:v>
                </c:pt>
                <c:pt idx="38">
                  <c:v>0.24119769999379059</c:v>
                </c:pt>
                <c:pt idx="39">
                  <c:v>0.2400278499990236</c:v>
                </c:pt>
                <c:pt idx="40">
                  <c:v>0.23672860000078799</c:v>
                </c:pt>
                <c:pt idx="41">
                  <c:v>0.24165409999113763</c:v>
                </c:pt>
                <c:pt idx="42">
                  <c:v>0.24193809999269433</c:v>
                </c:pt>
                <c:pt idx="43">
                  <c:v>0.24036194999644067</c:v>
                </c:pt>
                <c:pt idx="44">
                  <c:v>0.24410340009490028</c:v>
                </c:pt>
                <c:pt idx="46">
                  <c:v>0.2398431499968865</c:v>
                </c:pt>
                <c:pt idx="48">
                  <c:v>0.23956994999753078</c:v>
                </c:pt>
                <c:pt idx="49">
                  <c:v>0.23836134999874048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31-4F94-86F8-A11D146BC3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Active!$N$21:$N$539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31-4F94-86F8-A11D146BC3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Active!$O$21:$O$539</c:f>
              <c:numCache>
                <c:formatCode>General</c:formatCode>
                <c:ptCount val="519"/>
                <c:pt idx="0">
                  <c:v>0.23068303055462078</c:v>
                </c:pt>
                <c:pt idx="1">
                  <c:v>0.23581860512197331</c:v>
                </c:pt>
                <c:pt idx="2">
                  <c:v>0.23583280024976774</c:v>
                </c:pt>
                <c:pt idx="3">
                  <c:v>0.2359007141945097</c:v>
                </c:pt>
                <c:pt idx="4">
                  <c:v>0.23593244448016784</c:v>
                </c:pt>
                <c:pt idx="5">
                  <c:v>0.23626422080038267</c:v>
                </c:pt>
                <c:pt idx="6">
                  <c:v>0.23671874322564346</c:v>
                </c:pt>
                <c:pt idx="7">
                  <c:v>0.23672820664417307</c:v>
                </c:pt>
                <c:pt idx="8">
                  <c:v>0.23673154667424237</c:v>
                </c:pt>
                <c:pt idx="9">
                  <c:v>0.23673377336095522</c:v>
                </c:pt>
                <c:pt idx="10">
                  <c:v>0.23675381354137087</c:v>
                </c:pt>
                <c:pt idx="11">
                  <c:v>0.23675381354137087</c:v>
                </c:pt>
                <c:pt idx="12">
                  <c:v>0.23675409187720997</c:v>
                </c:pt>
                <c:pt idx="13">
                  <c:v>0.23710813506455333</c:v>
                </c:pt>
                <c:pt idx="14">
                  <c:v>0.23710841340039246</c:v>
                </c:pt>
                <c:pt idx="15">
                  <c:v>0.2371148151246919</c:v>
                </c:pt>
                <c:pt idx="16">
                  <c:v>0.237115093460531</c:v>
                </c:pt>
                <c:pt idx="17">
                  <c:v>0.23717938903936459</c:v>
                </c:pt>
                <c:pt idx="18">
                  <c:v>0.23721585103428752</c:v>
                </c:pt>
                <c:pt idx="19">
                  <c:v>0.23722893281872554</c:v>
                </c:pt>
                <c:pt idx="20">
                  <c:v>0.2375270305024085</c:v>
                </c:pt>
                <c:pt idx="21">
                  <c:v>0.2375273088382476</c:v>
                </c:pt>
                <c:pt idx="22">
                  <c:v>0.23756182248229682</c:v>
                </c:pt>
                <c:pt idx="23">
                  <c:v>0.23757072922914821</c:v>
                </c:pt>
                <c:pt idx="24">
                  <c:v>0.23759828447721976</c:v>
                </c:pt>
                <c:pt idx="25">
                  <c:v>0.23762027300850916</c:v>
                </c:pt>
                <c:pt idx="26">
                  <c:v>0.2376308497703952</c:v>
                </c:pt>
                <c:pt idx="27">
                  <c:v>0.23765896169014494</c:v>
                </c:pt>
                <c:pt idx="28">
                  <c:v>0.23765924002598404</c:v>
                </c:pt>
                <c:pt idx="29">
                  <c:v>0.23798238793518661</c:v>
                </c:pt>
                <c:pt idx="30">
                  <c:v>0.23800910817574084</c:v>
                </c:pt>
                <c:pt idx="31">
                  <c:v>0.23803276672206486</c:v>
                </c:pt>
                <c:pt idx="32">
                  <c:v>0.2380692287169878</c:v>
                </c:pt>
                <c:pt idx="33">
                  <c:v>0.23845639386918485</c:v>
                </c:pt>
                <c:pt idx="34">
                  <c:v>0.23846279559348429</c:v>
                </c:pt>
                <c:pt idx="35">
                  <c:v>0.23972922366141849</c:v>
                </c:pt>
                <c:pt idx="36">
                  <c:v>0.23973033700477492</c:v>
                </c:pt>
                <c:pt idx="37">
                  <c:v>0.23973061534061402</c:v>
                </c:pt>
                <c:pt idx="38">
                  <c:v>0.2397467588192822</c:v>
                </c:pt>
                <c:pt idx="39">
                  <c:v>0.2397470371551213</c:v>
                </c:pt>
                <c:pt idx="40">
                  <c:v>0.24002676467342327</c:v>
                </c:pt>
                <c:pt idx="41">
                  <c:v>0.24012974893389263</c:v>
                </c:pt>
                <c:pt idx="42">
                  <c:v>0.24022994983597093</c:v>
                </c:pt>
                <c:pt idx="43">
                  <c:v>0.24027420523438886</c:v>
                </c:pt>
                <c:pt idx="44">
                  <c:v>0.24042534159502366</c:v>
                </c:pt>
                <c:pt idx="45">
                  <c:v>0.24060570321876459</c:v>
                </c:pt>
                <c:pt idx="46">
                  <c:v>0.24061043492802942</c:v>
                </c:pt>
                <c:pt idx="47">
                  <c:v>0.24069198732888761</c:v>
                </c:pt>
                <c:pt idx="48">
                  <c:v>0.2410869458845796</c:v>
                </c:pt>
                <c:pt idx="49">
                  <c:v>0.24110809940835168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31-4F94-86F8-A11D146BC3B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Active!$F$21:$F$539</c:f>
              <c:numCache>
                <c:formatCode>General</c:formatCode>
                <c:ptCount val="519"/>
                <c:pt idx="0">
                  <c:v>-12423</c:v>
                </c:pt>
                <c:pt idx="1">
                  <c:v>-3197.5</c:v>
                </c:pt>
                <c:pt idx="2">
                  <c:v>-3172</c:v>
                </c:pt>
                <c:pt idx="3">
                  <c:v>-3050</c:v>
                </c:pt>
                <c:pt idx="4">
                  <c:v>-2993</c:v>
                </c:pt>
                <c:pt idx="5">
                  <c:v>-2397</c:v>
                </c:pt>
                <c:pt idx="6">
                  <c:v>-1580.5</c:v>
                </c:pt>
                <c:pt idx="7">
                  <c:v>-1563.5</c:v>
                </c:pt>
                <c:pt idx="8">
                  <c:v>-1557.5</c:v>
                </c:pt>
                <c:pt idx="9">
                  <c:v>-1553.5</c:v>
                </c:pt>
                <c:pt idx="10">
                  <c:v>-1517.5</c:v>
                </c:pt>
                <c:pt idx="11">
                  <c:v>-1517.5</c:v>
                </c:pt>
                <c:pt idx="12">
                  <c:v>-1517</c:v>
                </c:pt>
                <c:pt idx="13">
                  <c:v>-881</c:v>
                </c:pt>
                <c:pt idx="14">
                  <c:v>-880.5</c:v>
                </c:pt>
                <c:pt idx="15">
                  <c:v>-869</c:v>
                </c:pt>
                <c:pt idx="16">
                  <c:v>-868.5</c:v>
                </c:pt>
                <c:pt idx="17">
                  <c:v>-753</c:v>
                </c:pt>
                <c:pt idx="18">
                  <c:v>-687.5</c:v>
                </c:pt>
                <c:pt idx="19">
                  <c:v>-664</c:v>
                </c:pt>
                <c:pt idx="20">
                  <c:v>-128.5</c:v>
                </c:pt>
                <c:pt idx="21">
                  <c:v>-128</c:v>
                </c:pt>
                <c:pt idx="22">
                  <c:v>-66</c:v>
                </c:pt>
                <c:pt idx="23">
                  <c:v>-50</c:v>
                </c:pt>
                <c:pt idx="24">
                  <c:v>-0.5</c:v>
                </c:pt>
                <c:pt idx="25">
                  <c:v>39</c:v>
                </c:pt>
                <c:pt idx="26">
                  <c:v>58</c:v>
                </c:pt>
                <c:pt idx="27">
                  <c:v>108.5</c:v>
                </c:pt>
                <c:pt idx="28">
                  <c:v>109</c:v>
                </c:pt>
                <c:pt idx="29">
                  <c:v>689.5</c:v>
                </c:pt>
                <c:pt idx="30">
                  <c:v>737.5</c:v>
                </c:pt>
                <c:pt idx="31">
                  <c:v>780</c:v>
                </c:pt>
                <c:pt idx="32">
                  <c:v>845.5</c:v>
                </c:pt>
                <c:pt idx="33">
                  <c:v>1541</c:v>
                </c:pt>
                <c:pt idx="34">
                  <c:v>1552.5</c:v>
                </c:pt>
                <c:pt idx="35">
                  <c:v>3827.5</c:v>
                </c:pt>
                <c:pt idx="36">
                  <c:v>3829.5</c:v>
                </c:pt>
                <c:pt idx="37">
                  <c:v>3830</c:v>
                </c:pt>
                <c:pt idx="38">
                  <c:v>3859</c:v>
                </c:pt>
                <c:pt idx="39">
                  <c:v>3859.5</c:v>
                </c:pt>
                <c:pt idx="40">
                  <c:v>4362</c:v>
                </c:pt>
                <c:pt idx="41">
                  <c:v>4547</c:v>
                </c:pt>
                <c:pt idx="42">
                  <c:v>4727</c:v>
                </c:pt>
                <c:pt idx="43">
                  <c:v>4806.5</c:v>
                </c:pt>
                <c:pt idx="44">
                  <c:v>5078</c:v>
                </c:pt>
                <c:pt idx="45">
                  <c:v>5402</c:v>
                </c:pt>
                <c:pt idx="46">
                  <c:v>5410.5</c:v>
                </c:pt>
                <c:pt idx="47">
                  <c:v>5557</c:v>
                </c:pt>
                <c:pt idx="48">
                  <c:v>6266.5</c:v>
                </c:pt>
                <c:pt idx="49">
                  <c:v>6304.5</c:v>
                </c:pt>
              </c:numCache>
            </c:numRef>
          </c:xVal>
          <c:yVal>
            <c:numRef>
              <c:f>Active!$P$21:$P$539</c:f>
              <c:numCache>
                <c:formatCode>General</c:formatCode>
                <c:ptCount val="5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1B-45B4-9C5C-65C910183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8400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  <c:pt idx="48">
                        <c:v>6266.5</c:v>
                      </c:pt>
                      <c:pt idx="49">
                        <c:v>6304.5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Active!$L$21:$L$539</c15:sqref>
                        </c15:formulaRef>
                      </c:ext>
                    </c:extLst>
                    <c:numCache>
                      <c:formatCode>General</c:formatCode>
                      <c:ptCount val="51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1C31-4F94-86F8-A11D146BC3B0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  <c:pt idx="48">
                        <c:v>6266.5</c:v>
                      </c:pt>
                      <c:pt idx="49">
                        <c:v>6304.5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Active!$M$21:$M$539</c15:sqref>
                        </c15:formulaRef>
                      </c:ext>
                    </c:extLst>
                    <c:numCache>
                      <c:formatCode>General</c:formatCode>
                      <c:ptCount val="51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31-4F94-86F8-A11D146BC3B0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  <c:pt idx="48">
                        <c:v>6266.5</c:v>
                      </c:pt>
                      <c:pt idx="49">
                        <c:v>6304.5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Active!$Q$21:$Q$539</c15:sqref>
                        </c15:formulaRef>
                      </c:ext>
                    </c:extLst>
                    <c:numCache>
                      <c:formatCode>d/mm/yyyy;@</c:formatCode>
                      <c:ptCount val="519"/>
                      <c:pt idx="0">
                        <c:v>36545.400647800001</c:v>
                      </c:pt>
                      <c:pt idx="1">
                        <c:v>40914.314400000003</c:v>
                      </c:pt>
                      <c:pt idx="2">
                        <c:v>40926.3923</c:v>
                      </c:pt>
                      <c:pt idx="3">
                        <c:v>40984.160100000001</c:v>
                      </c:pt>
                      <c:pt idx="4">
                        <c:v>41011.154699999999</c:v>
                      </c:pt>
                      <c:pt idx="5">
                        <c:v>41293.381399999998</c:v>
                      </c:pt>
                      <c:pt idx="6">
                        <c:v>41680.026899999997</c:v>
                      </c:pt>
                      <c:pt idx="7">
                        <c:v>41688.076999999997</c:v>
                      </c:pt>
                      <c:pt idx="8">
                        <c:v>41690.9202</c:v>
                      </c:pt>
                      <c:pt idx="9">
                        <c:v>41692.810400000002</c:v>
                      </c:pt>
                      <c:pt idx="10">
                        <c:v>41709.859960000002</c:v>
                      </c:pt>
                      <c:pt idx="11">
                        <c:v>41709.86017</c:v>
                      </c:pt>
                      <c:pt idx="12">
                        <c:v>41710.095699999998</c:v>
                      </c:pt>
                      <c:pt idx="13">
                        <c:v>42011.268100000001</c:v>
                      </c:pt>
                      <c:pt idx="14">
                        <c:v>42011.504300000001</c:v>
                      </c:pt>
                      <c:pt idx="15">
                        <c:v>42016.949099999998</c:v>
                      </c:pt>
                      <c:pt idx="16">
                        <c:v>42017.1872</c:v>
                      </c:pt>
                      <c:pt idx="17">
                        <c:v>42071.880700000002</c:v>
                      </c:pt>
                      <c:pt idx="18">
                        <c:v>42102.898500000003</c:v>
                      </c:pt>
                      <c:pt idx="19">
                        <c:v>42114.025600000001</c:v>
                      </c:pt>
                      <c:pt idx="20">
                        <c:v>42367.606299999999</c:v>
                      </c:pt>
                      <c:pt idx="21">
                        <c:v>42367.844700000001</c:v>
                      </c:pt>
                      <c:pt idx="22">
                        <c:v>42397.203800000003</c:v>
                      </c:pt>
                      <c:pt idx="23">
                        <c:v>42404.781130000003</c:v>
                      </c:pt>
                      <c:pt idx="24">
                        <c:v>42428.220200000003</c:v>
                      </c:pt>
                      <c:pt idx="25">
                        <c:v>42446.924899999998</c:v>
                      </c:pt>
                      <c:pt idx="26">
                        <c:v>42455.922680000003</c:v>
                      </c:pt>
                      <c:pt idx="27">
                        <c:v>42479.833400000003</c:v>
                      </c:pt>
                      <c:pt idx="28">
                        <c:v>42480.073499999999</c:v>
                      </c:pt>
                      <c:pt idx="29">
                        <c:v>42754.964879999869</c:v>
                      </c:pt>
                      <c:pt idx="30">
                        <c:v>42777.695200000002</c:v>
                      </c:pt>
                      <c:pt idx="31">
                        <c:v>42797.820449999999</c:v>
                      </c:pt>
                      <c:pt idx="32">
                        <c:v>42828.837880000006</c:v>
                      </c:pt>
                      <c:pt idx="33">
                        <c:v>43158.186000000002</c:v>
                      </c:pt>
                      <c:pt idx="34">
                        <c:v>43163.62900000019</c:v>
                      </c:pt>
                      <c:pt idx="35">
                        <c:v>44240.933299999997</c:v>
                      </c:pt>
                      <c:pt idx="36">
                        <c:v>44241.881399999998</c:v>
                      </c:pt>
                      <c:pt idx="37">
                        <c:v>44242.119100000004</c:v>
                      </c:pt>
                      <c:pt idx="38">
                        <c:v>44255.8511</c:v>
                      </c:pt>
                      <c:pt idx="39">
                        <c:v>44256.0867</c:v>
                      </c:pt>
                      <c:pt idx="40">
                        <c:v>44494.037100000001</c:v>
                      </c:pt>
                      <c:pt idx="41">
                        <c:v>44581.646869999997</c:v>
                      </c:pt>
                      <c:pt idx="42">
                        <c:v>44666.884299999998</c:v>
                      </c:pt>
                      <c:pt idx="43">
                        <c:v>44704.529130000003</c:v>
                      </c:pt>
                      <c:pt idx="44">
                        <c:v>44833.098900000099</c:v>
                      </c:pt>
                      <c:pt idx="45">
                        <c:v>44986.52347</c:v>
                      </c:pt>
                      <c:pt idx="46">
                        <c:v>44990.546589999998</c:v>
                      </c:pt>
                      <c:pt idx="47">
                        <c:v>45059.9202</c:v>
                      </c:pt>
                      <c:pt idx="48">
                        <c:v>45395.8963</c:v>
                      </c:pt>
                      <c:pt idx="49">
                        <c:v>45413.889600000002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21B-45B4-9C5C-65C910183FE1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  <c:pt idx="48">
                        <c:v>6266.5</c:v>
                      </c:pt>
                      <c:pt idx="49">
                        <c:v>6304.5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Active!$R$21:$R$539</c15:sqref>
                        </c15:formulaRef>
                      </c:ext>
                    </c:extLst>
                    <c:numCache>
                      <c:formatCode>General</c:formatCode>
                      <c:ptCount val="51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21B-45B4-9C5C-65C910183FE1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  <c:pt idx="0">
                        <c:v>BAD??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-12423</c:v>
                      </c:pt>
                      <c:pt idx="1">
                        <c:v>-3197.5</c:v>
                      </c:pt>
                      <c:pt idx="2">
                        <c:v>-3172</c:v>
                      </c:pt>
                      <c:pt idx="3">
                        <c:v>-3050</c:v>
                      </c:pt>
                      <c:pt idx="4">
                        <c:v>-2993</c:v>
                      </c:pt>
                      <c:pt idx="5">
                        <c:v>-2397</c:v>
                      </c:pt>
                      <c:pt idx="6">
                        <c:v>-1580.5</c:v>
                      </c:pt>
                      <c:pt idx="7">
                        <c:v>-1563.5</c:v>
                      </c:pt>
                      <c:pt idx="8">
                        <c:v>-1557.5</c:v>
                      </c:pt>
                      <c:pt idx="9">
                        <c:v>-1553.5</c:v>
                      </c:pt>
                      <c:pt idx="10">
                        <c:v>-1517.5</c:v>
                      </c:pt>
                      <c:pt idx="11">
                        <c:v>-1517.5</c:v>
                      </c:pt>
                      <c:pt idx="12">
                        <c:v>-1517</c:v>
                      </c:pt>
                      <c:pt idx="13">
                        <c:v>-881</c:v>
                      </c:pt>
                      <c:pt idx="14">
                        <c:v>-880.5</c:v>
                      </c:pt>
                      <c:pt idx="15">
                        <c:v>-869</c:v>
                      </c:pt>
                      <c:pt idx="16">
                        <c:v>-868.5</c:v>
                      </c:pt>
                      <c:pt idx="17">
                        <c:v>-753</c:v>
                      </c:pt>
                      <c:pt idx="18">
                        <c:v>-687.5</c:v>
                      </c:pt>
                      <c:pt idx="19">
                        <c:v>-664</c:v>
                      </c:pt>
                      <c:pt idx="20">
                        <c:v>-128.5</c:v>
                      </c:pt>
                      <c:pt idx="21">
                        <c:v>-128</c:v>
                      </c:pt>
                      <c:pt idx="22">
                        <c:v>-66</c:v>
                      </c:pt>
                      <c:pt idx="23">
                        <c:v>-50</c:v>
                      </c:pt>
                      <c:pt idx="24">
                        <c:v>-0.5</c:v>
                      </c:pt>
                      <c:pt idx="25">
                        <c:v>39</c:v>
                      </c:pt>
                      <c:pt idx="26">
                        <c:v>58</c:v>
                      </c:pt>
                      <c:pt idx="27">
                        <c:v>108.5</c:v>
                      </c:pt>
                      <c:pt idx="28">
                        <c:v>109</c:v>
                      </c:pt>
                      <c:pt idx="29">
                        <c:v>689.5</c:v>
                      </c:pt>
                      <c:pt idx="30">
                        <c:v>737.5</c:v>
                      </c:pt>
                      <c:pt idx="31">
                        <c:v>780</c:v>
                      </c:pt>
                      <c:pt idx="32">
                        <c:v>845.5</c:v>
                      </c:pt>
                      <c:pt idx="33">
                        <c:v>1541</c:v>
                      </c:pt>
                      <c:pt idx="34">
                        <c:v>1552.5</c:v>
                      </c:pt>
                      <c:pt idx="35">
                        <c:v>3827.5</c:v>
                      </c:pt>
                      <c:pt idx="36">
                        <c:v>3829.5</c:v>
                      </c:pt>
                      <c:pt idx="37">
                        <c:v>3830</c:v>
                      </c:pt>
                      <c:pt idx="38">
                        <c:v>3859</c:v>
                      </c:pt>
                      <c:pt idx="39">
                        <c:v>3859.5</c:v>
                      </c:pt>
                      <c:pt idx="40">
                        <c:v>4362</c:v>
                      </c:pt>
                      <c:pt idx="41">
                        <c:v>4547</c:v>
                      </c:pt>
                      <c:pt idx="42">
                        <c:v>4727</c:v>
                      </c:pt>
                      <c:pt idx="43">
                        <c:v>4806.5</c:v>
                      </c:pt>
                      <c:pt idx="44">
                        <c:v>5078</c:v>
                      </c:pt>
                      <c:pt idx="45">
                        <c:v>5402</c:v>
                      </c:pt>
                      <c:pt idx="46">
                        <c:v>5410.5</c:v>
                      </c:pt>
                      <c:pt idx="47">
                        <c:v>5557</c:v>
                      </c:pt>
                      <c:pt idx="48">
                        <c:v>6266.5</c:v>
                      </c:pt>
                      <c:pt idx="49">
                        <c:v>6304.5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Active!$S$21:$S$539</c15:sqref>
                        </c15:formulaRef>
                      </c:ext>
                    </c:extLst>
                    <c:numCache>
                      <c:formatCode>General</c:formatCode>
                      <c:ptCount val="519"/>
                      <c:pt idx="0">
                        <c:v>-3.5859100004017819E-2</c:v>
                      </c:pt>
                      <c:pt idx="45">
                        <c:v>0.11965019999479409</c:v>
                      </c:pt>
                      <c:pt idx="47">
                        <c:v>0.12047020000318298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21B-45B4-9C5C-65C910183FE1}"/>
                  </c:ext>
                </c:extLst>
              </c15:ser>
            </c15:filteredScatterSeries>
          </c:ext>
        </c:extLst>
      </c:scatterChart>
      <c:valAx>
        <c:axId val="934908400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1430170327805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8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F462322-C1C9-A19B-91DC-78DCFC57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590550</xdr:colOff>
      <xdr:row>0</xdr:row>
      <xdr:rowOff>0</xdr:rowOff>
    </xdr:from>
    <xdr:to>
      <xdr:col>27</xdr:col>
      <xdr:colOff>76200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65998DB-72E9-FF0E-D5C5-6D01DDBF7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13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232" TargetMode="External"/><Relationship Id="rId7" Type="http://schemas.openxmlformats.org/officeDocument/2006/relationships/hyperlink" Target="http://www.bav-astro.de/sfs/BAVM_link.php?BAVMnr=238" TargetMode="External"/><Relationship Id="rId12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6050" TargetMode="External"/><Relationship Id="rId6" Type="http://schemas.openxmlformats.org/officeDocument/2006/relationships/hyperlink" Target="http://www.bav-astro.de/sfs/BAVM_link.php?BAVMnr=234" TargetMode="External"/><Relationship Id="rId11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konkoly.hu/cgi-bin/IBVS?6063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6029" TargetMode="External"/><Relationship Id="rId9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6"/>
  <sheetViews>
    <sheetView tabSelected="1" workbookViewId="0">
      <pane xSplit="14" ySplit="22" topLeftCell="O55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7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1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 s="59" customFormat="1">
      <c r="A2" s="59" t="s">
        <v>1</v>
      </c>
      <c r="B2" s="59" t="s">
        <v>2</v>
      </c>
    </row>
    <row r="3" spans="1:6" s="59" customFormat="1"/>
    <row r="4" spans="1:6" s="59" customFormat="1">
      <c r="A4" s="61" t="s">
        <v>3</v>
      </c>
      <c r="C4" s="62" t="s">
        <v>4</v>
      </c>
      <c r="D4" s="63" t="s">
        <v>4</v>
      </c>
    </row>
    <row r="5" spans="1:6" s="59" customFormat="1">
      <c r="A5" s="64" t="s">
        <v>5</v>
      </c>
      <c r="C5" s="65">
        <v>-9.5</v>
      </c>
      <c r="D5" s="59" t="s">
        <v>6</v>
      </c>
    </row>
    <row r="6" spans="1:6" s="59" customFormat="1">
      <c r="A6" s="61" t="s">
        <v>7</v>
      </c>
      <c r="E6" s="84" t="s">
        <v>146</v>
      </c>
    </row>
    <row r="7" spans="1:6" s="59" customFormat="1">
      <c r="A7" s="59" t="s">
        <v>8</v>
      </c>
      <c r="C7" s="59">
        <v>57446.720200000003</v>
      </c>
      <c r="D7" s="83" t="s">
        <v>145</v>
      </c>
      <c r="E7" s="85">
        <v>51563.900647800001</v>
      </c>
    </row>
    <row r="8" spans="1:6" s="59" customFormat="1">
      <c r="A8" s="59" t="s">
        <v>10</v>
      </c>
      <c r="C8" s="59">
        <v>0.47353970000000001</v>
      </c>
      <c r="D8" s="83" t="s">
        <v>145</v>
      </c>
      <c r="E8" s="86">
        <v>0.473522</v>
      </c>
    </row>
    <row r="9" spans="1:6" s="59" customFormat="1">
      <c r="A9" s="66" t="s">
        <v>11</v>
      </c>
      <c r="B9" s="67">
        <v>22</v>
      </c>
      <c r="C9" s="68" t="str">
        <f>"F"&amp;B9</f>
        <v>F22</v>
      </c>
      <c r="D9" s="69" t="str">
        <f>"G"&amp;B9</f>
        <v>G22</v>
      </c>
    </row>
    <row r="10" spans="1:6" s="59" customFormat="1">
      <c r="C10" s="70" t="s">
        <v>12</v>
      </c>
      <c r="D10" s="70" t="s">
        <v>13</v>
      </c>
    </row>
    <row r="11" spans="1:6" s="59" customFormat="1">
      <c r="A11" s="59" t="s">
        <v>14</v>
      </c>
      <c r="C11" s="69">
        <f ca="1">INTERCEPT(INDIRECT($D$9):G987,INDIRECT($C$9):F987)</f>
        <v>0.23759856281305886</v>
      </c>
      <c r="D11" s="60"/>
    </row>
    <row r="12" spans="1:6" s="59" customFormat="1">
      <c r="A12" s="59" t="s">
        <v>15</v>
      </c>
      <c r="C12" s="69">
        <f ca="1">SLOPE(INDIRECT($D$9):G987,INDIRECT($C$9):F987)</f>
        <v>5.5667167821283775E-7</v>
      </c>
      <c r="D12" s="60"/>
      <c r="E12" s="87" t="s">
        <v>147</v>
      </c>
      <c r="F12" s="88" t="s">
        <v>144</v>
      </c>
    </row>
    <row r="13" spans="1:6" s="59" customFormat="1">
      <c r="A13" s="59" t="s">
        <v>16</v>
      </c>
      <c r="C13" s="60" t="s">
        <v>17</v>
      </c>
      <c r="E13" s="89" t="s">
        <v>19</v>
      </c>
      <c r="F13" s="90">
        <v>1</v>
      </c>
    </row>
    <row r="14" spans="1:6" s="59" customFormat="1">
      <c r="E14" s="89" t="s">
        <v>21</v>
      </c>
      <c r="F14" s="91">
        <f ca="1">NOW()+15018.5+$C$5/24</f>
        <v>60685.733073263887</v>
      </c>
    </row>
    <row r="15" spans="1:6" s="59" customFormat="1">
      <c r="A15" s="61" t="s">
        <v>18</v>
      </c>
      <c r="C15" s="71">
        <f ca="1">(C7+C11)+(C8+C12)*INT(MAX(F21:F3528))</f>
        <v>60432.155576621073</v>
      </c>
      <c r="E15" s="89" t="s">
        <v>23</v>
      </c>
      <c r="F15" s="91">
        <f ca="1">ROUND(2*(F14-$C$7)/$C$8,0)/2+F13</f>
        <v>6841</v>
      </c>
    </row>
    <row r="16" spans="1:6" s="59" customFormat="1">
      <c r="A16" s="61" t="s">
        <v>20</v>
      </c>
      <c r="C16" s="71">
        <f ca="1">+C8+C12</f>
        <v>0.47354025667167821</v>
      </c>
      <c r="E16" s="89" t="s">
        <v>25</v>
      </c>
      <c r="F16" s="91">
        <f ca="1">ROUND(2*(F14-$C$15)/$C$16,0)/2+F13</f>
        <v>536.5</v>
      </c>
    </row>
    <row r="17" spans="1:19" s="59" customFormat="1">
      <c r="A17" s="66" t="s">
        <v>22</v>
      </c>
      <c r="C17" s="59">
        <f>COUNT(C21:C2186)</f>
        <v>50</v>
      </c>
      <c r="E17" s="89" t="s">
        <v>142</v>
      </c>
      <c r="F17" s="92">
        <f ca="1">+$C$15+$C$16*$F$16-15018.5-$C$5/24</f>
        <v>45668.105757658763</v>
      </c>
    </row>
    <row r="18" spans="1:19" s="59" customFormat="1">
      <c r="A18" s="61" t="s">
        <v>24</v>
      </c>
      <c r="C18" s="72">
        <f ca="1">+C15</f>
        <v>60432.155576621073</v>
      </c>
      <c r="D18" s="73">
        <f ca="1">+C16</f>
        <v>0.47354025667167821</v>
      </c>
      <c r="E18" s="94" t="s">
        <v>143</v>
      </c>
      <c r="F18" s="93">
        <f ca="1">+($C$15+$C$16*$F$16)-($C$16/2)-15018.5-$C$5/24</f>
        <v>45667.868987530426</v>
      </c>
    </row>
    <row r="19" spans="1:19" s="59" customFormat="1"/>
    <row r="20" spans="1:19" s="59" customFormat="1">
      <c r="A20" s="70" t="s">
        <v>26</v>
      </c>
      <c r="B20" s="70" t="s">
        <v>27</v>
      </c>
      <c r="C20" s="70" t="s">
        <v>28</v>
      </c>
      <c r="D20" s="70" t="s">
        <v>29</v>
      </c>
      <c r="E20" s="70" t="s">
        <v>30</v>
      </c>
      <c r="F20" s="70" t="s">
        <v>31</v>
      </c>
      <c r="G20" s="70" t="s">
        <v>32</v>
      </c>
      <c r="H20" s="74" t="s">
        <v>33</v>
      </c>
      <c r="I20" s="74" t="s">
        <v>34</v>
      </c>
      <c r="J20" s="74" t="s">
        <v>35</v>
      </c>
      <c r="K20" s="74" t="s">
        <v>36</v>
      </c>
      <c r="L20" s="74" t="s">
        <v>37</v>
      </c>
      <c r="M20" s="74" t="s">
        <v>38</v>
      </c>
      <c r="N20" s="74" t="s">
        <v>39</v>
      </c>
      <c r="O20" s="74" t="s">
        <v>40</v>
      </c>
      <c r="P20" s="74" t="s">
        <v>41</v>
      </c>
      <c r="Q20" s="70" t="s">
        <v>42</v>
      </c>
      <c r="S20" s="82" t="s">
        <v>140</v>
      </c>
    </row>
    <row r="21" spans="1:19" s="59" customFormat="1">
      <c r="A21" s="4" t="s">
        <v>9</v>
      </c>
      <c r="B21" s="60"/>
      <c r="C21" s="75">
        <v>51563.900647800001</v>
      </c>
      <c r="D21" s="75" t="s">
        <v>17</v>
      </c>
      <c r="E21" s="59">
        <f t="shared" ref="E21:E68" si="0">+(C21-C$7)/C$8</f>
        <v>-12423.07572564666</v>
      </c>
      <c r="F21" s="59">
        <f>ROUND(2*E21,0)/2</f>
        <v>-12423</v>
      </c>
      <c r="O21" s="59">
        <f t="shared" ref="O21:O68" ca="1" si="1">+C$11+C$12*$F21</f>
        <v>0.23068303055462078</v>
      </c>
      <c r="Q21" s="76">
        <f t="shared" ref="Q21:Q68" si="2">+C21-15018.5</f>
        <v>36545.400647800001</v>
      </c>
      <c r="S21" s="59">
        <v>-3.5859100004017819E-2</v>
      </c>
    </row>
    <row r="22" spans="1:19" s="59" customFormat="1">
      <c r="A22" s="61" t="s">
        <v>43</v>
      </c>
      <c r="B22" s="60"/>
      <c r="C22" s="77">
        <v>55932.814400000003</v>
      </c>
      <c r="D22" s="77">
        <v>2.0000000000000001E-4</v>
      </c>
      <c r="E22" s="59">
        <f t="shared" si="0"/>
        <v>-3196.9986888110975</v>
      </c>
      <c r="F22" s="78">
        <f t="shared" ref="F22:F68" si="3">ROUND(2*E22,0)/2-0.5</f>
        <v>-3197.5</v>
      </c>
      <c r="G22" s="59">
        <f t="shared" ref="G22:G44" si="4">+C22-(C$7+F22*C$8)</f>
        <v>0.23739075000048615</v>
      </c>
      <c r="K22" s="59">
        <f>+G22</f>
        <v>0.23739075000048615</v>
      </c>
      <c r="O22" s="59">
        <f t="shared" ca="1" si="1"/>
        <v>0.23581860512197331</v>
      </c>
      <c r="Q22" s="76">
        <f t="shared" si="2"/>
        <v>40914.314400000003</v>
      </c>
    </row>
    <row r="23" spans="1:19" s="59" customFormat="1">
      <c r="A23" s="79" t="s">
        <v>44</v>
      </c>
      <c r="B23" s="80" t="s">
        <v>45</v>
      </c>
      <c r="C23" s="79">
        <v>55944.8923</v>
      </c>
      <c r="D23" s="79">
        <v>4.0000000000000002E-4</v>
      </c>
      <c r="E23" s="59">
        <f t="shared" si="0"/>
        <v>-3171.4931187395773</v>
      </c>
      <c r="F23" s="78">
        <f t="shared" si="3"/>
        <v>-3172</v>
      </c>
      <c r="G23" s="59">
        <f t="shared" si="4"/>
        <v>0.24002839999593562</v>
      </c>
      <c r="K23" s="59">
        <f>+G23</f>
        <v>0.24002839999593562</v>
      </c>
      <c r="O23" s="59">
        <f t="shared" ca="1" si="1"/>
        <v>0.23583280024976774</v>
      </c>
      <c r="Q23" s="76">
        <f t="shared" si="2"/>
        <v>40926.3923</v>
      </c>
    </row>
    <row r="24" spans="1:19" s="59" customFormat="1">
      <c r="A24" s="79" t="s">
        <v>46</v>
      </c>
      <c r="B24" s="80" t="s">
        <v>47</v>
      </c>
      <c r="C24" s="79">
        <v>56002.660100000001</v>
      </c>
      <c r="D24" s="79">
        <v>1E-3</v>
      </c>
      <c r="E24" s="59">
        <f t="shared" si="0"/>
        <v>-3049.5016574112001</v>
      </c>
      <c r="F24" s="78">
        <f t="shared" si="3"/>
        <v>-3050</v>
      </c>
      <c r="G24" s="59">
        <f t="shared" si="4"/>
        <v>0.23598499999934575</v>
      </c>
      <c r="J24" s="59">
        <f>+G24</f>
        <v>0.23598499999934575</v>
      </c>
      <c r="O24" s="59">
        <f t="shared" ca="1" si="1"/>
        <v>0.2359007141945097</v>
      </c>
      <c r="Q24" s="76">
        <f t="shared" si="2"/>
        <v>40984.160100000001</v>
      </c>
    </row>
    <row r="25" spans="1:19">
      <c r="A25" s="8" t="s">
        <v>44</v>
      </c>
      <c r="B25" s="9" t="s">
        <v>45</v>
      </c>
      <c r="C25" s="8">
        <v>56029.654699999999</v>
      </c>
      <c r="D25" s="8">
        <v>2.0000000000000001E-4</v>
      </c>
      <c r="E25" s="1">
        <f t="shared" si="0"/>
        <v>-2992.4956661500696</v>
      </c>
      <c r="F25" s="7">
        <f t="shared" si="3"/>
        <v>-2993</v>
      </c>
      <c r="G25" s="1">
        <f t="shared" si="4"/>
        <v>0.23882209999283077</v>
      </c>
      <c r="K25" s="1">
        <f>+G25</f>
        <v>0.23882209999283077</v>
      </c>
      <c r="O25" s="1">
        <f t="shared" ca="1" si="1"/>
        <v>0.23593244448016784</v>
      </c>
      <c r="Q25" s="50">
        <f t="shared" si="2"/>
        <v>41011.154699999999</v>
      </c>
    </row>
    <row r="26" spans="1:19">
      <c r="A26" s="10" t="s">
        <v>48</v>
      </c>
      <c r="B26" s="9" t="s">
        <v>45</v>
      </c>
      <c r="C26" s="8">
        <v>56311.881399999998</v>
      </c>
      <c r="D26" s="8">
        <v>2.0000000000000001E-4</v>
      </c>
      <c r="E26" s="1">
        <f t="shared" si="0"/>
        <v>-2396.5019194800457</v>
      </c>
      <c r="F26" s="7">
        <f t="shared" si="3"/>
        <v>-2397</v>
      </c>
      <c r="G26" s="1">
        <f t="shared" si="4"/>
        <v>0.23586089999298565</v>
      </c>
      <c r="K26" s="1">
        <f>+G26</f>
        <v>0.23586089999298565</v>
      </c>
      <c r="O26" s="1">
        <f t="shared" ca="1" si="1"/>
        <v>0.23626422080038267</v>
      </c>
      <c r="Q26" s="50">
        <f t="shared" si="2"/>
        <v>41293.381399999998</v>
      </c>
    </row>
    <row r="27" spans="1:19">
      <c r="A27" s="11" t="s">
        <v>49</v>
      </c>
      <c r="B27" s="12" t="s">
        <v>47</v>
      </c>
      <c r="C27" s="8">
        <v>56698.526899999997</v>
      </c>
      <c r="D27" s="13">
        <v>2.9999999999999997E-4</v>
      </c>
      <c r="E27" s="1">
        <f t="shared" si="0"/>
        <v>-1580.0012121475902</v>
      </c>
      <c r="F27" s="7">
        <f t="shared" si="3"/>
        <v>-1580.5</v>
      </c>
      <c r="G27" s="1">
        <f t="shared" si="4"/>
        <v>0.23619584999687504</v>
      </c>
      <c r="J27" s="1">
        <f>+G27</f>
        <v>0.23619584999687504</v>
      </c>
      <c r="O27" s="1">
        <f t="shared" ca="1" si="1"/>
        <v>0.23671874322564346</v>
      </c>
      <c r="Q27" s="50">
        <f t="shared" si="2"/>
        <v>41680.026899999997</v>
      </c>
    </row>
    <row r="28" spans="1:19">
      <c r="A28" s="13" t="s">
        <v>50</v>
      </c>
      <c r="B28" s="12" t="s">
        <v>47</v>
      </c>
      <c r="C28" s="13">
        <v>56706.576999999997</v>
      </c>
      <c r="D28" s="13">
        <v>4.5999999999999999E-3</v>
      </c>
      <c r="E28" s="1">
        <f t="shared" si="0"/>
        <v>-1563.0013703180659</v>
      </c>
      <c r="F28" s="7">
        <f t="shared" si="3"/>
        <v>-1563.5</v>
      </c>
      <c r="G28" s="1">
        <f t="shared" si="4"/>
        <v>0.23612094999407418</v>
      </c>
      <c r="J28" s="1">
        <f>+G28</f>
        <v>0.23612094999407418</v>
      </c>
      <c r="O28" s="1">
        <f t="shared" ca="1" si="1"/>
        <v>0.23672820664417307</v>
      </c>
      <c r="Q28" s="50">
        <f t="shared" si="2"/>
        <v>41688.076999999997</v>
      </c>
    </row>
    <row r="29" spans="1:19">
      <c r="A29" s="13" t="s">
        <v>50</v>
      </c>
      <c r="B29" s="12" t="s">
        <v>47</v>
      </c>
      <c r="C29" s="13">
        <v>56709.4202</v>
      </c>
      <c r="D29" s="13">
        <v>4.0000000000000002E-4</v>
      </c>
      <c r="E29" s="1">
        <f t="shared" si="0"/>
        <v>-1556.9972274763929</v>
      </c>
      <c r="F29" s="7">
        <f t="shared" si="3"/>
        <v>-1557.5</v>
      </c>
      <c r="G29" s="1">
        <f t="shared" si="4"/>
        <v>0.23808274999464629</v>
      </c>
      <c r="J29" s="1">
        <f>+G29</f>
        <v>0.23808274999464629</v>
      </c>
      <c r="O29" s="1">
        <f t="shared" ca="1" si="1"/>
        <v>0.23673154667424237</v>
      </c>
      <c r="Q29" s="50">
        <f t="shared" si="2"/>
        <v>41690.9202</v>
      </c>
    </row>
    <row r="30" spans="1:19">
      <c r="A30" s="13" t="s">
        <v>50</v>
      </c>
      <c r="B30" s="12" t="s">
        <v>47</v>
      </c>
      <c r="C30" s="13">
        <v>56711.310400000002</v>
      </c>
      <c r="D30" s="13">
        <v>1.1000000000000001E-3</v>
      </c>
      <c r="E30" s="1">
        <f t="shared" si="0"/>
        <v>-1553.0055874935117</v>
      </c>
      <c r="F30" s="7">
        <f t="shared" si="3"/>
        <v>-1553.5</v>
      </c>
      <c r="G30" s="1">
        <f t="shared" si="4"/>
        <v>0.23412395000195829</v>
      </c>
      <c r="J30" s="1">
        <f>+G30</f>
        <v>0.23412395000195829</v>
      </c>
      <c r="O30" s="1">
        <f t="shared" ca="1" si="1"/>
        <v>0.23673377336095522</v>
      </c>
      <c r="Q30" s="50">
        <f t="shared" si="2"/>
        <v>41692.810400000002</v>
      </c>
    </row>
    <row r="31" spans="1:19">
      <c r="A31" s="8" t="s">
        <v>51</v>
      </c>
      <c r="B31" s="9" t="s">
        <v>45</v>
      </c>
      <c r="C31" s="14">
        <v>56728.359960000002</v>
      </c>
      <c r="D31" s="8">
        <v>2.0000000000000001E-4</v>
      </c>
      <c r="E31" s="1">
        <f t="shared" si="0"/>
        <v>-1517.0010877651901</v>
      </c>
      <c r="F31" s="7">
        <f t="shared" si="3"/>
        <v>-1517.5</v>
      </c>
      <c r="G31" s="1">
        <f t="shared" si="4"/>
        <v>0.23625475000153529</v>
      </c>
      <c r="K31" s="1">
        <f>+G31</f>
        <v>0.23625475000153529</v>
      </c>
      <c r="O31" s="1">
        <f t="shared" ca="1" si="1"/>
        <v>0.23675381354137087</v>
      </c>
      <c r="Q31" s="50">
        <f t="shared" si="2"/>
        <v>41709.859960000002</v>
      </c>
    </row>
    <row r="32" spans="1:19">
      <c r="A32" s="8" t="s">
        <v>51</v>
      </c>
      <c r="B32" s="9" t="s">
        <v>47</v>
      </c>
      <c r="C32" s="14">
        <v>56728.36017</v>
      </c>
      <c r="D32" s="8">
        <v>1E-4</v>
      </c>
      <c r="E32" s="1">
        <f t="shared" si="0"/>
        <v>-1517.0006442965678</v>
      </c>
      <c r="F32" s="7">
        <f t="shared" si="3"/>
        <v>-1517.5</v>
      </c>
      <c r="G32" s="1">
        <f t="shared" si="4"/>
        <v>0.23646474999986822</v>
      </c>
      <c r="K32" s="1">
        <f>+G32</f>
        <v>0.23646474999986822</v>
      </c>
      <c r="O32" s="1">
        <f t="shared" ca="1" si="1"/>
        <v>0.23675381354137087</v>
      </c>
      <c r="Q32" s="50">
        <f t="shared" si="2"/>
        <v>41709.86017</v>
      </c>
    </row>
    <row r="33" spans="1:17">
      <c r="A33" s="8" t="s">
        <v>52</v>
      </c>
      <c r="B33" s="9"/>
      <c r="C33" s="8">
        <v>56728.595699999998</v>
      </c>
      <c r="D33" s="8">
        <v>1E-4</v>
      </c>
      <c r="E33" s="15">
        <f t="shared" si="0"/>
        <v>-1516.5032625564559</v>
      </c>
      <c r="F33" s="7">
        <f t="shared" si="3"/>
        <v>-1517</v>
      </c>
      <c r="G33" s="1">
        <f t="shared" si="4"/>
        <v>0.23522489999595564</v>
      </c>
      <c r="J33" s="1">
        <f>+G33</f>
        <v>0.23522489999595564</v>
      </c>
      <c r="O33" s="1">
        <f t="shared" ca="1" si="1"/>
        <v>0.23675409187720997</v>
      </c>
      <c r="Q33" s="50">
        <f t="shared" si="2"/>
        <v>41710.095699999998</v>
      </c>
    </row>
    <row r="34" spans="1:17">
      <c r="A34" s="24" t="s">
        <v>58</v>
      </c>
      <c r="B34" s="25" t="s">
        <v>47</v>
      </c>
      <c r="C34" s="24">
        <v>57029.768100000001</v>
      </c>
      <c r="D34" s="24">
        <v>2.0000000000000001E-4</v>
      </c>
      <c r="E34" s="15">
        <f t="shared" si="0"/>
        <v>-880.50083234838019</v>
      </c>
      <c r="F34" s="7">
        <f t="shared" si="3"/>
        <v>-881</v>
      </c>
      <c r="G34" s="1">
        <f t="shared" si="4"/>
        <v>0.23637569999846164</v>
      </c>
      <c r="K34" s="1">
        <f>+G34</f>
        <v>0.23637569999846164</v>
      </c>
      <c r="O34" s="1">
        <f t="shared" ca="1" si="1"/>
        <v>0.23710813506455333</v>
      </c>
      <c r="Q34" s="50">
        <f t="shared" si="2"/>
        <v>42011.268100000001</v>
      </c>
    </row>
    <row r="35" spans="1:17">
      <c r="A35" s="24" t="s">
        <v>58</v>
      </c>
      <c r="B35" s="25" t="s">
        <v>45</v>
      </c>
      <c r="C35" s="24">
        <v>57030.004300000001</v>
      </c>
      <c r="D35" s="24">
        <v>1E-4</v>
      </c>
      <c r="E35" s="15">
        <f t="shared" si="0"/>
        <v>-880.00203573217379</v>
      </c>
      <c r="F35" s="7">
        <f t="shared" si="3"/>
        <v>-880.5</v>
      </c>
      <c r="G35" s="1">
        <f t="shared" si="4"/>
        <v>0.23580584999581333</v>
      </c>
      <c r="K35" s="1">
        <f>+G35</f>
        <v>0.23580584999581333</v>
      </c>
      <c r="O35" s="1">
        <f t="shared" ca="1" si="1"/>
        <v>0.23710841340039246</v>
      </c>
      <c r="Q35" s="50">
        <f t="shared" si="2"/>
        <v>42011.504300000001</v>
      </c>
    </row>
    <row r="36" spans="1:17">
      <c r="A36" s="13" t="s">
        <v>53</v>
      </c>
      <c r="B36" s="9"/>
      <c r="C36" s="13">
        <v>57035.449099999998</v>
      </c>
      <c r="D36" s="13">
        <v>6.9999999999999999E-4</v>
      </c>
      <c r="E36" s="15">
        <f t="shared" si="0"/>
        <v>-868.50395014400135</v>
      </c>
      <c r="F36" s="7">
        <f t="shared" si="3"/>
        <v>-869</v>
      </c>
      <c r="G36" s="1">
        <f t="shared" si="4"/>
        <v>0.23489929999777814</v>
      </c>
      <c r="J36" s="1">
        <f>+G36</f>
        <v>0.23489929999777814</v>
      </c>
      <c r="O36" s="1">
        <f t="shared" ca="1" si="1"/>
        <v>0.2371148151246919</v>
      </c>
      <c r="Q36" s="50">
        <f t="shared" si="2"/>
        <v>42016.949099999998</v>
      </c>
    </row>
    <row r="37" spans="1:17">
      <c r="A37" s="13" t="s">
        <v>53</v>
      </c>
      <c r="B37" s="9"/>
      <c r="C37" s="13">
        <v>57035.6872</v>
      </c>
      <c r="D37" s="13">
        <v>2.0000000000000001E-4</v>
      </c>
      <c r="E37" s="15">
        <f t="shared" si="0"/>
        <v>-868.00114119260343</v>
      </c>
      <c r="F37" s="7">
        <f t="shared" si="3"/>
        <v>-868.5</v>
      </c>
      <c r="G37" s="1">
        <f t="shared" si="4"/>
        <v>0.2362294499980635</v>
      </c>
      <c r="J37" s="1">
        <f>+G37</f>
        <v>0.2362294499980635</v>
      </c>
      <c r="O37" s="1">
        <f t="shared" ca="1" si="1"/>
        <v>0.237115093460531</v>
      </c>
      <c r="Q37" s="50">
        <f t="shared" si="2"/>
        <v>42017.1872</v>
      </c>
    </row>
    <row r="38" spans="1:17">
      <c r="A38" s="8" t="s">
        <v>52</v>
      </c>
      <c r="B38" s="9"/>
      <c r="C38" s="8">
        <v>57090.380700000002</v>
      </c>
      <c r="D38" s="8">
        <v>6.9999999999999999E-4</v>
      </c>
      <c r="E38" s="15">
        <f t="shared" si="0"/>
        <v>-752.50184936976109</v>
      </c>
      <c r="F38" s="7">
        <f t="shared" si="3"/>
        <v>-753</v>
      </c>
      <c r="G38" s="1">
        <f t="shared" si="4"/>
        <v>0.23589409999840427</v>
      </c>
      <c r="J38" s="1">
        <f>+G38</f>
        <v>0.23589409999840427</v>
      </c>
      <c r="O38" s="1">
        <f t="shared" ca="1" si="1"/>
        <v>0.23717938903936459</v>
      </c>
      <c r="Q38" s="50">
        <f t="shared" si="2"/>
        <v>42071.880700000002</v>
      </c>
    </row>
    <row r="39" spans="1:17">
      <c r="A39" s="16" t="s">
        <v>54</v>
      </c>
      <c r="B39" s="17" t="s">
        <v>47</v>
      </c>
      <c r="C39" s="18">
        <v>57121.398500000003</v>
      </c>
      <c r="D39" s="18">
        <v>1E-3</v>
      </c>
      <c r="E39" s="15">
        <f t="shared" si="0"/>
        <v>-686.99984394127966</v>
      </c>
      <c r="F39" s="7">
        <f t="shared" si="3"/>
        <v>-687.5</v>
      </c>
      <c r="G39" s="1">
        <f t="shared" si="4"/>
        <v>0.23684374999720603</v>
      </c>
      <c r="K39" s="1">
        <f t="shared" ref="K39:K44" si="5">+G39</f>
        <v>0.23684374999720603</v>
      </c>
      <c r="O39" s="1">
        <f t="shared" ca="1" si="1"/>
        <v>0.23721585103428752</v>
      </c>
      <c r="Q39" s="50">
        <f t="shared" si="2"/>
        <v>42102.898500000003</v>
      </c>
    </row>
    <row r="40" spans="1:17">
      <c r="A40" s="16" t="s">
        <v>54</v>
      </c>
      <c r="B40" s="17" t="s">
        <v>47</v>
      </c>
      <c r="C40" s="18">
        <v>57132.525600000001</v>
      </c>
      <c r="D40" s="18">
        <v>1E-4</v>
      </c>
      <c r="E40" s="15">
        <f t="shared" si="0"/>
        <v>-663.50213086675205</v>
      </c>
      <c r="F40" s="7">
        <f t="shared" si="3"/>
        <v>-664</v>
      </c>
      <c r="G40" s="1">
        <f t="shared" si="4"/>
        <v>0.23576079999475041</v>
      </c>
      <c r="K40" s="1">
        <f t="shared" si="5"/>
        <v>0.23576079999475041</v>
      </c>
      <c r="O40" s="1">
        <f t="shared" ca="1" si="1"/>
        <v>0.23722893281872554</v>
      </c>
      <c r="Q40" s="50">
        <f t="shared" si="2"/>
        <v>42114.025600000001</v>
      </c>
    </row>
    <row r="41" spans="1:17">
      <c r="A41" s="19" t="s">
        <v>55</v>
      </c>
      <c r="B41" s="20" t="s">
        <v>47</v>
      </c>
      <c r="C41" s="19">
        <v>57386.106299999999</v>
      </c>
      <c r="D41" s="19" t="s">
        <v>56</v>
      </c>
      <c r="E41" s="15">
        <f t="shared" si="0"/>
        <v>-128.00172826059551</v>
      </c>
      <c r="F41" s="7">
        <f t="shared" si="3"/>
        <v>-128.5</v>
      </c>
      <c r="G41" s="1">
        <f t="shared" si="4"/>
        <v>0.23595144999853801</v>
      </c>
      <c r="K41" s="1">
        <f t="shared" si="5"/>
        <v>0.23595144999853801</v>
      </c>
      <c r="O41" s="1">
        <f t="shared" ca="1" si="1"/>
        <v>0.2375270305024085</v>
      </c>
      <c r="Q41" s="50">
        <f t="shared" si="2"/>
        <v>42367.606299999999</v>
      </c>
    </row>
    <row r="42" spans="1:17">
      <c r="A42" s="19" t="s">
        <v>55</v>
      </c>
      <c r="B42" s="20" t="s">
        <v>45</v>
      </c>
      <c r="C42" s="19">
        <v>57386.344700000001</v>
      </c>
      <c r="D42" s="19" t="s">
        <v>56</v>
      </c>
      <c r="E42" s="15">
        <f t="shared" si="0"/>
        <v>-127.49828578258997</v>
      </c>
      <c r="F42" s="7">
        <f t="shared" si="3"/>
        <v>-128</v>
      </c>
      <c r="G42" s="1">
        <f t="shared" si="4"/>
        <v>0.23758159999852069</v>
      </c>
      <c r="K42" s="1">
        <f t="shared" si="5"/>
        <v>0.23758159999852069</v>
      </c>
      <c r="O42" s="1">
        <f t="shared" ca="1" si="1"/>
        <v>0.2375273088382476</v>
      </c>
      <c r="Q42" s="50">
        <f t="shared" si="2"/>
        <v>42367.844700000001</v>
      </c>
    </row>
    <row r="43" spans="1:17">
      <c r="A43" s="24" t="s">
        <v>59</v>
      </c>
      <c r="B43" s="25" t="s">
        <v>47</v>
      </c>
      <c r="C43" s="24">
        <v>57415.703800000003</v>
      </c>
      <c r="D43" s="24">
        <v>1E-4</v>
      </c>
      <c r="E43" s="15">
        <f t="shared" si="0"/>
        <v>-65.499048970974201</v>
      </c>
      <c r="F43" s="7">
        <f t="shared" si="3"/>
        <v>-66</v>
      </c>
      <c r="G43" s="1">
        <f t="shared" si="4"/>
        <v>0.23722019999695476</v>
      </c>
      <c r="K43" s="1">
        <f t="shared" si="5"/>
        <v>0.23722019999695476</v>
      </c>
      <c r="O43" s="1">
        <f t="shared" ca="1" si="1"/>
        <v>0.23756182248229682</v>
      </c>
      <c r="Q43" s="50">
        <f t="shared" si="2"/>
        <v>42397.203800000003</v>
      </c>
    </row>
    <row r="44" spans="1:17">
      <c r="A44" s="21" t="s">
        <v>57</v>
      </c>
      <c r="B44" s="22" t="s">
        <v>47</v>
      </c>
      <c r="C44" s="23">
        <v>57423.281130000003</v>
      </c>
      <c r="D44" s="23">
        <v>1E-4</v>
      </c>
      <c r="E44" s="15">
        <f t="shared" si="0"/>
        <v>-49.497581723349398</v>
      </c>
      <c r="F44" s="7">
        <f t="shared" si="3"/>
        <v>-50</v>
      </c>
      <c r="G44" s="1">
        <f t="shared" si="4"/>
        <v>0.23791499999788357</v>
      </c>
      <c r="K44" s="1">
        <f t="shared" si="5"/>
        <v>0.23791499999788357</v>
      </c>
      <c r="O44" s="1">
        <f t="shared" ca="1" si="1"/>
        <v>0.23757072922914821</v>
      </c>
      <c r="Q44" s="50">
        <f t="shared" si="2"/>
        <v>42404.781130000003</v>
      </c>
    </row>
    <row r="45" spans="1:17">
      <c r="A45" s="1" t="str">
        <f>$D$7</f>
        <v>VSX</v>
      </c>
      <c r="B45" s="3"/>
      <c r="C45" s="6">
        <f>$C$7</f>
        <v>57446.720200000003</v>
      </c>
      <c r="D45" s="6"/>
      <c r="E45" s="15">
        <f t="shared" si="0"/>
        <v>0</v>
      </c>
      <c r="F45" s="5">
        <f t="shared" si="3"/>
        <v>-0.5</v>
      </c>
      <c r="O45" s="1">
        <f t="shared" ca="1" si="1"/>
        <v>0.23759828447721976</v>
      </c>
      <c r="Q45" s="50">
        <f t="shared" si="2"/>
        <v>42428.220200000003</v>
      </c>
    </row>
    <row r="46" spans="1:17">
      <c r="A46" s="16" t="s">
        <v>54</v>
      </c>
      <c r="B46" s="17" t="s">
        <v>47</v>
      </c>
      <c r="C46" s="18">
        <v>57465.424899999998</v>
      </c>
      <c r="D46" s="18">
        <v>2.5000000000000001E-3</v>
      </c>
      <c r="E46" s="15">
        <f t="shared" si="0"/>
        <v>39.499750496093093</v>
      </c>
      <c r="F46" s="7">
        <f t="shared" si="3"/>
        <v>39</v>
      </c>
      <c r="G46" s="1">
        <f t="shared" ref="G46:G65" si="6">+C46-(C$7+F46*C$8)</f>
        <v>0.23665169999731006</v>
      </c>
      <c r="K46" s="1">
        <f t="shared" ref="K46:K65" si="7">+G46</f>
        <v>0.23665169999731006</v>
      </c>
      <c r="O46" s="1">
        <f t="shared" ca="1" si="1"/>
        <v>0.23762027300850916</v>
      </c>
      <c r="Q46" s="50">
        <f t="shared" si="2"/>
        <v>42446.924899999998</v>
      </c>
    </row>
    <row r="47" spans="1:17">
      <c r="A47" s="21" t="s">
        <v>57</v>
      </c>
      <c r="B47" s="22" t="s">
        <v>47</v>
      </c>
      <c r="C47" s="23">
        <v>57474.422680000003</v>
      </c>
      <c r="D47" s="23">
        <v>4.0000000000000002E-4</v>
      </c>
      <c r="E47" s="15">
        <f t="shared" si="0"/>
        <v>58.500860645897106</v>
      </c>
      <c r="F47" s="7">
        <f t="shared" si="3"/>
        <v>58</v>
      </c>
      <c r="G47" s="1">
        <f t="shared" si="6"/>
        <v>0.23717739999847254</v>
      </c>
      <c r="K47" s="1">
        <f t="shared" si="7"/>
        <v>0.23717739999847254</v>
      </c>
      <c r="O47" s="1">
        <f t="shared" ca="1" si="1"/>
        <v>0.2376308497703952</v>
      </c>
      <c r="Q47" s="50">
        <f t="shared" si="2"/>
        <v>42455.922680000003</v>
      </c>
    </row>
    <row r="48" spans="1:17">
      <c r="A48" s="21" t="s">
        <v>57</v>
      </c>
      <c r="B48" s="22" t="s">
        <v>45</v>
      </c>
      <c r="C48" s="23">
        <v>57498.333400000003</v>
      </c>
      <c r="D48" s="23">
        <v>1E-4</v>
      </c>
      <c r="E48" s="15">
        <f t="shared" si="0"/>
        <v>108.99445178514024</v>
      </c>
      <c r="F48" s="7">
        <f t="shared" si="3"/>
        <v>108.5</v>
      </c>
      <c r="G48" s="1">
        <f t="shared" si="6"/>
        <v>0.23414254999806872</v>
      </c>
      <c r="K48" s="1">
        <f t="shared" si="7"/>
        <v>0.23414254999806872</v>
      </c>
      <c r="O48" s="1">
        <f t="shared" ca="1" si="1"/>
        <v>0.23765896169014494</v>
      </c>
      <c r="Q48" s="50">
        <f t="shared" si="2"/>
        <v>42479.833400000003</v>
      </c>
    </row>
    <row r="49" spans="1:17">
      <c r="A49" s="24" t="s">
        <v>58</v>
      </c>
      <c r="B49" s="25" t="s">
        <v>47</v>
      </c>
      <c r="C49" s="24">
        <v>57498.573499999999</v>
      </c>
      <c r="D49" s="24">
        <v>1E-4</v>
      </c>
      <c r="E49" s="15">
        <f t="shared" si="0"/>
        <v>109.50148424724519</v>
      </c>
      <c r="F49" s="7">
        <f t="shared" si="3"/>
        <v>109</v>
      </c>
      <c r="G49" s="1">
        <f t="shared" si="6"/>
        <v>0.23747269999876153</v>
      </c>
      <c r="K49" s="1">
        <f t="shared" si="7"/>
        <v>0.23747269999876153</v>
      </c>
      <c r="O49" s="1">
        <f t="shared" ca="1" si="1"/>
        <v>0.23765924002598404</v>
      </c>
      <c r="Q49" s="50">
        <f t="shared" si="2"/>
        <v>42480.073499999999</v>
      </c>
    </row>
    <row r="50" spans="1:17">
      <c r="A50" s="35" t="s">
        <v>64</v>
      </c>
      <c r="B50" s="36" t="s">
        <v>45</v>
      </c>
      <c r="C50" s="37">
        <v>57773.464879999869</v>
      </c>
      <c r="D50" s="37">
        <v>1E-4</v>
      </c>
      <c r="E50" s="15">
        <f t="shared" si="0"/>
        <v>690.00482958422526</v>
      </c>
      <c r="F50" s="7">
        <f t="shared" si="3"/>
        <v>689.5</v>
      </c>
      <c r="G50" s="1">
        <f t="shared" si="6"/>
        <v>0.23905684986675624</v>
      </c>
      <c r="K50" s="1">
        <f t="shared" si="7"/>
        <v>0.23905684986675624</v>
      </c>
      <c r="O50" s="1">
        <f t="shared" ca="1" si="1"/>
        <v>0.23798238793518661</v>
      </c>
      <c r="Q50" s="50">
        <f t="shared" si="2"/>
        <v>42754.964879999869</v>
      </c>
    </row>
    <row r="51" spans="1:17">
      <c r="A51" s="26" t="s">
        <v>60</v>
      </c>
      <c r="B51" s="27" t="s">
        <v>47</v>
      </c>
      <c r="C51" s="28">
        <v>57796.195200000002</v>
      </c>
      <c r="D51" s="29" t="s">
        <v>61</v>
      </c>
      <c r="E51" s="15">
        <f t="shared" si="0"/>
        <v>738.00570469592844</v>
      </c>
      <c r="F51" s="7">
        <f t="shared" si="3"/>
        <v>737.5</v>
      </c>
      <c r="G51" s="1">
        <f t="shared" si="6"/>
        <v>0.23947124999540392</v>
      </c>
      <c r="K51" s="1">
        <f t="shared" si="7"/>
        <v>0.23947124999540392</v>
      </c>
      <c r="O51" s="1">
        <f t="shared" ca="1" si="1"/>
        <v>0.23800910817574084</v>
      </c>
      <c r="Q51" s="50">
        <f t="shared" si="2"/>
        <v>42777.695200000002</v>
      </c>
    </row>
    <row r="52" spans="1:17">
      <c r="A52" s="35" t="s">
        <v>64</v>
      </c>
      <c r="B52" s="36" t="s">
        <v>47</v>
      </c>
      <c r="C52" s="37">
        <v>57816.320449999999</v>
      </c>
      <c r="D52" s="37">
        <v>1E-4</v>
      </c>
      <c r="E52" s="15">
        <f t="shared" si="0"/>
        <v>780.50530926973147</v>
      </c>
      <c r="F52" s="7">
        <f t="shared" si="3"/>
        <v>780</v>
      </c>
      <c r="G52" s="1">
        <f t="shared" si="6"/>
        <v>0.23928399999567773</v>
      </c>
      <c r="K52" s="1">
        <f t="shared" si="7"/>
        <v>0.23928399999567773</v>
      </c>
      <c r="O52" s="1">
        <f t="shared" ca="1" si="1"/>
        <v>0.23803276672206486</v>
      </c>
      <c r="Q52" s="50">
        <f t="shared" si="2"/>
        <v>42797.820449999999</v>
      </c>
    </row>
    <row r="53" spans="1:17" ht="12" customHeight="1">
      <c r="A53" s="35" t="s">
        <v>64</v>
      </c>
      <c r="B53" s="36" t="s">
        <v>45</v>
      </c>
      <c r="C53" s="37">
        <v>57847.337880000006</v>
      </c>
      <c r="D53" s="37">
        <v>1.1000000000000001E-3</v>
      </c>
      <c r="E53" s="15">
        <f t="shared" si="0"/>
        <v>846.00653334874141</v>
      </c>
      <c r="F53" s="7">
        <f t="shared" si="3"/>
        <v>845.5</v>
      </c>
      <c r="G53" s="1">
        <f t="shared" si="6"/>
        <v>0.2398636500001885</v>
      </c>
      <c r="K53" s="1">
        <f t="shared" si="7"/>
        <v>0.2398636500001885</v>
      </c>
      <c r="O53" s="1">
        <f t="shared" ca="1" si="1"/>
        <v>0.2380692287169878</v>
      </c>
      <c r="Q53" s="50">
        <f t="shared" si="2"/>
        <v>42828.837880000006</v>
      </c>
    </row>
    <row r="54" spans="1:17" ht="12" customHeight="1">
      <c r="A54" s="32" t="s">
        <v>63</v>
      </c>
      <c r="B54" s="33" t="s">
        <v>47</v>
      </c>
      <c r="C54" s="34">
        <v>58176.686000000002</v>
      </c>
      <c r="D54" s="34">
        <v>1E-4</v>
      </c>
      <c r="E54" s="15">
        <f t="shared" si="0"/>
        <v>1541.509191309616</v>
      </c>
      <c r="F54" s="7">
        <f t="shared" si="3"/>
        <v>1541</v>
      </c>
      <c r="G54" s="1">
        <f t="shared" si="6"/>
        <v>0.24112229999445844</v>
      </c>
      <c r="K54" s="1">
        <f t="shared" si="7"/>
        <v>0.24112229999445844</v>
      </c>
      <c r="O54" s="1">
        <f t="shared" ca="1" si="1"/>
        <v>0.23845639386918485</v>
      </c>
      <c r="Q54" s="50">
        <f t="shared" si="2"/>
        <v>43158.186000000002</v>
      </c>
    </row>
    <row r="55" spans="1:17" ht="12" customHeight="1">
      <c r="A55" s="30" t="s">
        <v>62</v>
      </c>
      <c r="B55" s="31" t="s">
        <v>47</v>
      </c>
      <c r="C55" s="30">
        <v>58182.12900000019</v>
      </c>
      <c r="D55" s="30" t="s">
        <v>17</v>
      </c>
      <c r="E55" s="15">
        <f t="shared" si="0"/>
        <v>1553.0034757385422</v>
      </c>
      <c r="F55" s="7">
        <f t="shared" si="3"/>
        <v>1552.5</v>
      </c>
      <c r="G55" s="1">
        <f t="shared" si="6"/>
        <v>0.23841575018741423</v>
      </c>
      <c r="K55" s="1">
        <f t="shared" si="7"/>
        <v>0.23841575018741423</v>
      </c>
      <c r="O55" s="1">
        <f t="shared" ca="1" si="1"/>
        <v>0.23846279559348429</v>
      </c>
      <c r="Q55" s="50">
        <f t="shared" si="2"/>
        <v>43163.62900000019</v>
      </c>
    </row>
    <row r="56" spans="1:17" ht="12" customHeight="1">
      <c r="A56" s="51" t="s">
        <v>135</v>
      </c>
      <c r="B56" s="52" t="s">
        <v>47</v>
      </c>
      <c r="C56" s="57">
        <v>59259.433299999997</v>
      </c>
      <c r="D56" s="56">
        <v>1.4E-3</v>
      </c>
      <c r="E56" s="15">
        <f t="shared" si="0"/>
        <v>3828.0066064154571</v>
      </c>
      <c r="F56" s="5">
        <f t="shared" si="3"/>
        <v>3827.5</v>
      </c>
      <c r="G56" s="1">
        <f t="shared" si="6"/>
        <v>0.23989824999443954</v>
      </c>
      <c r="K56" s="1">
        <f t="shared" si="7"/>
        <v>0.23989824999443954</v>
      </c>
      <c r="O56" s="1">
        <f t="shared" ca="1" si="1"/>
        <v>0.23972922366141849</v>
      </c>
      <c r="Q56" s="50">
        <f t="shared" si="2"/>
        <v>44240.933299999997</v>
      </c>
    </row>
    <row r="57" spans="1:17" ht="12" customHeight="1">
      <c r="A57" s="51" t="s">
        <v>135</v>
      </c>
      <c r="B57" s="52" t="s">
        <v>47</v>
      </c>
      <c r="C57" s="57">
        <v>59260.381399999998</v>
      </c>
      <c r="D57" s="56">
        <v>8.9999999999999998E-4</v>
      </c>
      <c r="E57" s="15">
        <f t="shared" si="0"/>
        <v>3830.0087616729811</v>
      </c>
      <c r="F57" s="5">
        <f t="shared" si="3"/>
        <v>3829.5</v>
      </c>
      <c r="G57" s="1">
        <f t="shared" si="6"/>
        <v>0.24091884999506874</v>
      </c>
      <c r="K57" s="1">
        <f t="shared" si="7"/>
        <v>0.24091884999506874</v>
      </c>
      <c r="O57" s="1">
        <f t="shared" ca="1" si="1"/>
        <v>0.23973033700477492</v>
      </c>
      <c r="Q57" s="50">
        <f t="shared" si="2"/>
        <v>44241.881399999998</v>
      </c>
    </row>
    <row r="58" spans="1:17" ht="12" customHeight="1">
      <c r="A58" s="51" t="s">
        <v>135</v>
      </c>
      <c r="B58" s="52" t="s">
        <v>47</v>
      </c>
      <c r="C58" s="57">
        <v>59260.619100000004</v>
      </c>
      <c r="D58" s="56">
        <v>4.0000000000000002E-4</v>
      </c>
      <c r="E58" s="15">
        <f t="shared" si="0"/>
        <v>3830.5107259222409</v>
      </c>
      <c r="F58" s="5">
        <f t="shared" si="3"/>
        <v>3830</v>
      </c>
      <c r="G58" s="1">
        <f t="shared" si="6"/>
        <v>0.24184899999818299</v>
      </c>
      <c r="K58" s="1">
        <f t="shared" si="7"/>
        <v>0.24184899999818299</v>
      </c>
      <c r="O58" s="1">
        <f t="shared" ca="1" si="1"/>
        <v>0.23973061534061402</v>
      </c>
      <c r="Q58" s="50">
        <f t="shared" si="2"/>
        <v>44242.119100000004</v>
      </c>
    </row>
    <row r="59" spans="1:17" ht="12" customHeight="1">
      <c r="A59" s="51" t="s">
        <v>135</v>
      </c>
      <c r="B59" s="52" t="s">
        <v>47</v>
      </c>
      <c r="C59" s="57">
        <v>59274.3511</v>
      </c>
      <c r="D59" s="56">
        <v>4.4000000000000003E-3</v>
      </c>
      <c r="E59" s="15">
        <f t="shared" si="0"/>
        <v>3859.5093505359664</v>
      </c>
      <c r="F59" s="5">
        <f t="shared" si="3"/>
        <v>3859</v>
      </c>
      <c r="G59" s="1">
        <f t="shared" si="6"/>
        <v>0.24119769999379059</v>
      </c>
      <c r="K59" s="1">
        <f t="shared" si="7"/>
        <v>0.24119769999379059</v>
      </c>
      <c r="O59" s="1">
        <f t="shared" ca="1" si="1"/>
        <v>0.2397467588192822</v>
      </c>
      <c r="Q59" s="50">
        <f t="shared" si="2"/>
        <v>44255.8511</v>
      </c>
    </row>
    <row r="60" spans="1:17" ht="12" customHeight="1">
      <c r="A60" s="51" t="s">
        <v>135</v>
      </c>
      <c r="B60" s="52" t="s">
        <v>47</v>
      </c>
      <c r="C60" s="57">
        <v>59274.5867</v>
      </c>
      <c r="D60" s="56">
        <v>4.1999999999999997E-3</v>
      </c>
      <c r="E60" s="15">
        <f t="shared" si="0"/>
        <v>3860.0068800989579</v>
      </c>
      <c r="F60" s="5">
        <f t="shared" si="3"/>
        <v>3859.5</v>
      </c>
      <c r="G60" s="1">
        <f t="shared" si="6"/>
        <v>0.2400278499990236</v>
      </c>
      <c r="K60" s="1">
        <f t="shared" si="7"/>
        <v>0.2400278499990236</v>
      </c>
      <c r="O60" s="1">
        <f t="shared" ca="1" si="1"/>
        <v>0.2397470371551213</v>
      </c>
      <c r="Q60" s="50">
        <f t="shared" si="2"/>
        <v>44256.0867</v>
      </c>
    </row>
    <row r="61" spans="1:17" ht="12" customHeight="1">
      <c r="A61" s="51" t="s">
        <v>136</v>
      </c>
      <c r="B61" s="52" t="s">
        <v>45</v>
      </c>
      <c r="C61" s="57">
        <v>59512.537100000001</v>
      </c>
      <c r="D61" s="56">
        <v>2.9999999999999997E-4</v>
      </c>
      <c r="E61" s="15">
        <f t="shared" si="0"/>
        <v>4362.4999128900872</v>
      </c>
      <c r="F61" s="5">
        <f t="shared" si="3"/>
        <v>4362</v>
      </c>
      <c r="G61" s="1">
        <f t="shared" si="6"/>
        <v>0.23672860000078799</v>
      </c>
      <c r="K61" s="1">
        <f t="shared" si="7"/>
        <v>0.23672860000078799</v>
      </c>
      <c r="O61" s="1">
        <f t="shared" ca="1" si="1"/>
        <v>0.24002676467342327</v>
      </c>
      <c r="Q61" s="50">
        <f t="shared" si="2"/>
        <v>44494.037100000001</v>
      </c>
    </row>
    <row r="62" spans="1:17" ht="12" customHeight="1">
      <c r="A62" s="51" t="s">
        <v>141</v>
      </c>
      <c r="B62" s="52" t="s">
        <v>47</v>
      </c>
      <c r="C62" s="56">
        <v>59600.146869999997</v>
      </c>
      <c r="D62" s="56">
        <v>6.0000000000000002E-5</v>
      </c>
      <c r="E62" s="15">
        <f t="shared" si="0"/>
        <v>4547.510314341107</v>
      </c>
      <c r="F62" s="5">
        <f t="shared" si="3"/>
        <v>4547</v>
      </c>
      <c r="G62" s="1">
        <f t="shared" si="6"/>
        <v>0.24165409999113763</v>
      </c>
      <c r="K62" s="1">
        <f t="shared" si="7"/>
        <v>0.24165409999113763</v>
      </c>
      <c r="O62" s="1">
        <f t="shared" ca="1" si="1"/>
        <v>0.24012974893389263</v>
      </c>
      <c r="Q62" s="50">
        <f t="shared" si="2"/>
        <v>44581.646869999997</v>
      </c>
    </row>
    <row r="63" spans="1:17" ht="12.95" customHeight="1">
      <c r="A63" s="51" t="s">
        <v>137</v>
      </c>
      <c r="B63" s="52" t="s">
        <v>47</v>
      </c>
      <c r="C63" s="57">
        <v>59685.384299999998</v>
      </c>
      <c r="D63" s="56">
        <v>2.0000000000000001E-4</v>
      </c>
      <c r="E63" s="15">
        <f t="shared" si="0"/>
        <v>4727.5109140796312</v>
      </c>
      <c r="F63" s="5">
        <f t="shared" si="3"/>
        <v>4727</v>
      </c>
      <c r="G63" s="1">
        <f t="shared" si="6"/>
        <v>0.24193809999269433</v>
      </c>
      <c r="K63" s="1">
        <f t="shared" si="7"/>
        <v>0.24193809999269433</v>
      </c>
      <c r="O63" s="1">
        <f t="shared" ca="1" si="1"/>
        <v>0.24022994983597093</v>
      </c>
      <c r="Q63" s="50">
        <f t="shared" si="2"/>
        <v>44666.884299999998</v>
      </c>
    </row>
    <row r="64" spans="1:17" ht="12.95" customHeight="1">
      <c r="A64" s="51" t="s">
        <v>141</v>
      </c>
      <c r="B64" s="52" t="s">
        <v>45</v>
      </c>
      <c r="C64" s="56">
        <v>59723.029130000003</v>
      </c>
      <c r="D64" s="56">
        <v>9.0000000000000006E-5</v>
      </c>
      <c r="E64" s="15">
        <f t="shared" si="0"/>
        <v>4807.0075856364292</v>
      </c>
      <c r="F64" s="5">
        <f t="shared" si="3"/>
        <v>4806.5</v>
      </c>
      <c r="G64" s="1">
        <f t="shared" si="6"/>
        <v>0.24036194999644067</v>
      </c>
      <c r="K64" s="1">
        <f t="shared" si="7"/>
        <v>0.24036194999644067</v>
      </c>
      <c r="O64" s="1">
        <f t="shared" ca="1" si="1"/>
        <v>0.24027420523438886</v>
      </c>
      <c r="Q64" s="50">
        <f t="shared" si="2"/>
        <v>44704.529130000003</v>
      </c>
    </row>
    <row r="65" spans="1:19" ht="12.95" customHeight="1">
      <c r="A65" s="53" t="s">
        <v>138</v>
      </c>
      <c r="B65" s="81" t="s">
        <v>47</v>
      </c>
      <c r="C65" s="58">
        <v>59851.598900000099</v>
      </c>
      <c r="D65" s="56">
        <v>2.9999999999999997E-4</v>
      </c>
      <c r="E65" s="15">
        <f t="shared" si="0"/>
        <v>5078.5154866637276</v>
      </c>
      <c r="F65" s="5">
        <f t="shared" si="3"/>
        <v>5078</v>
      </c>
      <c r="G65" s="1">
        <f t="shared" si="6"/>
        <v>0.24410340009490028</v>
      </c>
      <c r="K65" s="1">
        <f t="shared" si="7"/>
        <v>0.24410340009490028</v>
      </c>
      <c r="O65" s="1">
        <f t="shared" ca="1" si="1"/>
        <v>0.24042534159502366</v>
      </c>
      <c r="Q65" s="50">
        <f t="shared" si="2"/>
        <v>44833.098900000099</v>
      </c>
    </row>
    <row r="66" spans="1:19" ht="12.95" customHeight="1">
      <c r="A66" s="51" t="s">
        <v>141</v>
      </c>
      <c r="B66" s="52" t="s">
        <v>47</v>
      </c>
      <c r="C66" s="56">
        <v>60005.02347</v>
      </c>
      <c r="D66" s="56">
        <v>3.8000000000000002E-4</v>
      </c>
      <c r="E66" s="15">
        <f t="shared" si="0"/>
        <v>5402.5106448308279</v>
      </c>
      <c r="F66" s="5">
        <f t="shared" si="3"/>
        <v>5402</v>
      </c>
      <c r="O66" s="1">
        <f t="shared" ca="1" si="1"/>
        <v>0.24060570321876459</v>
      </c>
      <c r="Q66" s="50">
        <f t="shared" si="2"/>
        <v>44986.52347</v>
      </c>
      <c r="S66" s="1">
        <v>0.11965019999479409</v>
      </c>
    </row>
    <row r="67" spans="1:19" ht="12.95" customHeight="1">
      <c r="A67" s="51" t="s">
        <v>141</v>
      </c>
      <c r="B67" s="52" t="s">
        <v>45</v>
      </c>
      <c r="C67" s="56">
        <v>60009.046589999998</v>
      </c>
      <c r="D67" s="56">
        <v>6.9999999999999994E-5</v>
      </c>
      <c r="E67" s="15">
        <f t="shared" si="0"/>
        <v>5411.006490057739</v>
      </c>
      <c r="F67" s="5">
        <f t="shared" si="3"/>
        <v>5410.5</v>
      </c>
      <c r="G67" s="1">
        <f>+C67-(C$7+F67*C$8)</f>
        <v>0.2398431499968865</v>
      </c>
      <c r="K67" s="1">
        <f>+G67</f>
        <v>0.2398431499968865</v>
      </c>
      <c r="O67" s="1">
        <f t="shared" ca="1" si="1"/>
        <v>0.24061043492802942</v>
      </c>
      <c r="Q67" s="50">
        <f t="shared" si="2"/>
        <v>44990.546589999998</v>
      </c>
    </row>
    <row r="68" spans="1:19" ht="12.95" customHeight="1">
      <c r="A68" s="54" t="s">
        <v>139</v>
      </c>
      <c r="B68" s="55" t="s">
        <v>47</v>
      </c>
      <c r="C68" s="56">
        <v>60078.4202</v>
      </c>
      <c r="D68" s="56">
        <v>1E-4</v>
      </c>
      <c r="E68" s="15">
        <f t="shared" si="0"/>
        <v>5557.5065828693923</v>
      </c>
      <c r="F68" s="5">
        <f t="shared" si="3"/>
        <v>5557</v>
      </c>
      <c r="G68" s="1">
        <f t="shared" ref="G68:G70" si="8">+C68-(C$7+F68*C$8)</f>
        <v>0.23988709999684943</v>
      </c>
      <c r="O68" s="1">
        <f t="shared" ca="1" si="1"/>
        <v>0.24069198732888761</v>
      </c>
      <c r="Q68" s="50">
        <f t="shared" si="2"/>
        <v>45059.9202</v>
      </c>
      <c r="S68" s="1">
        <v>0.12047020000318298</v>
      </c>
    </row>
    <row r="69" spans="1:19" ht="12.95" customHeight="1">
      <c r="A69" s="51" t="s">
        <v>148</v>
      </c>
      <c r="B69" s="55" t="s">
        <v>45</v>
      </c>
      <c r="C69" s="58">
        <v>60414.3963</v>
      </c>
      <c r="D69" s="95">
        <v>2.0000000000000001E-4</v>
      </c>
      <c r="E69" s="15">
        <f t="shared" ref="E69:E70" si="9">+(C69-C$7)/C$8</f>
        <v>6267.0059131261787</v>
      </c>
      <c r="F69" s="5">
        <f t="shared" ref="F69:F70" si="10">ROUND(2*E69,0)/2-0.5</f>
        <v>6266.5</v>
      </c>
      <c r="G69" s="1">
        <f t="shared" si="8"/>
        <v>0.23956994999753078</v>
      </c>
      <c r="K69" s="1">
        <v>0.23956994999753078</v>
      </c>
      <c r="O69" s="1">
        <f t="shared" ref="O69:O70" ca="1" si="11">+C$11+C$12*$F69</f>
        <v>0.2410869458845796</v>
      </c>
      <c r="Q69" s="50">
        <f t="shared" ref="Q69:Q70" si="12">+C69-15018.5</f>
        <v>45395.8963</v>
      </c>
    </row>
    <row r="70" spans="1:19" ht="12.95" customHeight="1">
      <c r="A70" s="51" t="s">
        <v>148</v>
      </c>
      <c r="B70" s="55" t="s">
        <v>45</v>
      </c>
      <c r="C70" s="58">
        <v>60432.389600000002</v>
      </c>
      <c r="D70" s="95">
        <v>2.0000000000000001E-4</v>
      </c>
      <c r="E70" s="15">
        <f t="shared" si="9"/>
        <v>6305.0033608586546</v>
      </c>
      <c r="F70" s="5">
        <f t="shared" si="10"/>
        <v>6304.5</v>
      </c>
      <c r="G70" s="1">
        <f t="shared" si="8"/>
        <v>0.23836134999874048</v>
      </c>
      <c r="K70" s="1">
        <v>0.23836134999874048</v>
      </c>
      <c r="O70" s="1">
        <f t="shared" ca="1" si="11"/>
        <v>0.24110809940835168</v>
      </c>
      <c r="Q70" s="50">
        <f t="shared" si="12"/>
        <v>45413.889600000002</v>
      </c>
    </row>
    <row r="71" spans="1:19" ht="12.95" customHeight="1">
      <c r="B71" s="3"/>
      <c r="C71" s="6"/>
      <c r="D71" s="6"/>
    </row>
    <row r="72" spans="1:19">
      <c r="B72" s="3"/>
      <c r="C72" s="6"/>
      <c r="D72" s="6"/>
    </row>
    <row r="73" spans="1:19">
      <c r="B73" s="3"/>
      <c r="C73" s="6"/>
      <c r="D73" s="6"/>
    </row>
    <row r="74" spans="1:19">
      <c r="B74" s="3"/>
      <c r="C74" s="6"/>
      <c r="D74" s="6"/>
    </row>
    <row r="75" spans="1:19">
      <c r="B75" s="3"/>
      <c r="C75" s="6"/>
      <c r="D75" s="6"/>
    </row>
    <row r="76" spans="1:19">
      <c r="B76" s="3"/>
      <c r="C76" s="6"/>
      <c r="D76" s="6"/>
    </row>
    <row r="77" spans="1:19">
      <c r="B77" s="3"/>
      <c r="C77" s="6"/>
      <c r="D77" s="6"/>
    </row>
    <row r="78" spans="1:19">
      <c r="B78" s="3"/>
      <c r="C78" s="6"/>
      <c r="D78" s="6"/>
    </row>
    <row r="79" spans="1:19">
      <c r="B79" s="3"/>
      <c r="C79" s="6"/>
      <c r="D79" s="6"/>
    </row>
    <row r="80" spans="1:19">
      <c r="B80" s="3"/>
      <c r="C80" s="6"/>
      <c r="D80" s="6"/>
    </row>
    <row r="81" spans="2:4">
      <c r="B81" s="3"/>
      <c r="C81" s="6"/>
      <c r="D81" s="6"/>
    </row>
    <row r="82" spans="2:4">
      <c r="B82" s="3"/>
      <c r="C82" s="6"/>
      <c r="D82" s="6"/>
    </row>
    <row r="83" spans="2:4">
      <c r="B83" s="3"/>
      <c r="C83" s="6"/>
      <c r="D83" s="6"/>
    </row>
    <row r="84" spans="2:4">
      <c r="B84" s="3"/>
      <c r="C84" s="6"/>
      <c r="D84" s="6"/>
    </row>
    <row r="85" spans="2:4">
      <c r="B85" s="3"/>
      <c r="C85" s="6"/>
      <c r="D85" s="6"/>
    </row>
    <row r="86" spans="2:4">
      <c r="B86" s="3"/>
      <c r="C86" s="6"/>
      <c r="D86" s="6"/>
    </row>
    <row r="87" spans="2:4">
      <c r="B87" s="3"/>
      <c r="C87" s="6"/>
      <c r="D87" s="6"/>
    </row>
    <row r="88" spans="2:4">
      <c r="B88" s="3"/>
      <c r="C88" s="6"/>
      <c r="D88" s="6"/>
    </row>
    <row r="89" spans="2:4">
      <c r="B89" s="3"/>
      <c r="C89" s="6"/>
      <c r="D89" s="6"/>
    </row>
    <row r="90" spans="2:4">
      <c r="B90" s="3"/>
      <c r="C90" s="6"/>
      <c r="D90" s="6"/>
    </row>
    <row r="91" spans="2:4">
      <c r="B91" s="3"/>
      <c r="C91" s="6"/>
      <c r="D91" s="6"/>
    </row>
    <row r="92" spans="2:4">
      <c r="B92" s="3"/>
      <c r="C92" s="6"/>
      <c r="D92" s="6"/>
    </row>
    <row r="93" spans="2:4">
      <c r="B93" s="3"/>
      <c r="C93" s="6"/>
      <c r="D93" s="6"/>
    </row>
    <row r="94" spans="2:4">
      <c r="B94" s="3"/>
      <c r="C94" s="6"/>
      <c r="D94" s="6"/>
    </row>
    <row r="95" spans="2:4">
      <c r="B95" s="3"/>
      <c r="C95" s="6"/>
      <c r="D95" s="6"/>
    </row>
    <row r="96" spans="2:4">
      <c r="B96" s="3"/>
      <c r="C96" s="6"/>
      <c r="D96" s="6"/>
    </row>
    <row r="97" spans="2:4">
      <c r="B97" s="3"/>
      <c r="C97" s="6"/>
      <c r="D97" s="6"/>
    </row>
    <row r="98" spans="2:4">
      <c r="B98" s="3"/>
      <c r="C98" s="6"/>
      <c r="D98" s="6"/>
    </row>
    <row r="99" spans="2:4">
      <c r="B99" s="3"/>
      <c r="C99" s="6"/>
      <c r="D99" s="6"/>
    </row>
    <row r="100" spans="2:4">
      <c r="B100" s="3"/>
      <c r="C100" s="6"/>
      <c r="D100" s="6"/>
    </row>
    <row r="101" spans="2:4">
      <c r="B101" s="3"/>
      <c r="C101" s="6"/>
      <c r="D101" s="6"/>
    </row>
    <row r="102" spans="2:4">
      <c r="B102" s="3"/>
      <c r="C102" s="6"/>
      <c r="D102" s="6"/>
    </row>
    <row r="103" spans="2:4">
      <c r="B103" s="3"/>
      <c r="C103" s="6"/>
      <c r="D103" s="6"/>
    </row>
    <row r="104" spans="2:4">
      <c r="C104" s="6"/>
      <c r="D104" s="6"/>
    </row>
    <row r="105" spans="2:4">
      <c r="C105" s="6"/>
      <c r="D105" s="6"/>
    </row>
    <row r="106" spans="2:4">
      <c r="C106" s="6"/>
      <c r="D106" s="6"/>
    </row>
    <row r="107" spans="2:4">
      <c r="C107" s="6"/>
      <c r="D107" s="6"/>
    </row>
    <row r="108" spans="2:4">
      <c r="C108" s="6"/>
      <c r="D108" s="6"/>
    </row>
    <row r="109" spans="2:4">
      <c r="C109" s="6"/>
      <c r="D109" s="6"/>
    </row>
    <row r="110" spans="2:4">
      <c r="C110" s="6"/>
      <c r="D110" s="6"/>
    </row>
    <row r="111" spans="2:4">
      <c r="C111" s="6"/>
      <c r="D111" s="6"/>
    </row>
    <row r="112" spans="2:4">
      <c r="C112" s="6"/>
      <c r="D112" s="6"/>
    </row>
    <row r="113" spans="3:4">
      <c r="C113" s="6"/>
      <c r="D113" s="6"/>
    </row>
    <row r="114" spans="3:4">
      <c r="C114" s="6"/>
      <c r="D114" s="6"/>
    </row>
    <row r="115" spans="3:4">
      <c r="C115" s="6"/>
      <c r="D115" s="6"/>
    </row>
    <row r="116" spans="3:4">
      <c r="C116" s="6"/>
      <c r="D116" s="6"/>
    </row>
    <row r="117" spans="3:4">
      <c r="C117" s="6"/>
      <c r="D117" s="6"/>
    </row>
    <row r="118" spans="3:4">
      <c r="C118" s="6"/>
      <c r="D118" s="6"/>
    </row>
    <row r="119" spans="3:4">
      <c r="C119" s="6"/>
      <c r="D119" s="6"/>
    </row>
    <row r="120" spans="3:4">
      <c r="C120" s="6"/>
      <c r="D120" s="6"/>
    </row>
    <row r="121" spans="3:4">
      <c r="C121" s="6"/>
      <c r="D121" s="6"/>
    </row>
    <row r="122" spans="3:4">
      <c r="C122" s="6"/>
      <c r="D122" s="6"/>
    </row>
    <row r="123" spans="3:4">
      <c r="C123" s="6"/>
      <c r="D123" s="6"/>
    </row>
    <row r="124" spans="3:4">
      <c r="C124" s="6"/>
      <c r="D124" s="6"/>
    </row>
    <row r="125" spans="3:4">
      <c r="C125" s="6"/>
      <c r="D125" s="6"/>
    </row>
    <row r="126" spans="3:4">
      <c r="C126" s="6"/>
      <c r="D126" s="6"/>
    </row>
    <row r="127" spans="3:4">
      <c r="C127" s="6"/>
      <c r="D127" s="6"/>
    </row>
    <row r="128" spans="3:4">
      <c r="C128" s="6"/>
      <c r="D128" s="6"/>
    </row>
    <row r="129" spans="3:4">
      <c r="C129" s="6"/>
      <c r="D129" s="6"/>
    </row>
    <row r="130" spans="3:4">
      <c r="C130" s="6"/>
      <c r="D130" s="6"/>
    </row>
    <row r="131" spans="3:4">
      <c r="C131" s="6"/>
      <c r="D131" s="6"/>
    </row>
    <row r="132" spans="3:4">
      <c r="C132" s="6"/>
      <c r="D132" s="6"/>
    </row>
    <row r="133" spans="3:4">
      <c r="C133" s="6"/>
      <c r="D133" s="6"/>
    </row>
    <row r="134" spans="3:4">
      <c r="C134" s="6"/>
      <c r="D134" s="6"/>
    </row>
    <row r="135" spans="3:4">
      <c r="C135" s="6"/>
      <c r="D135" s="6"/>
    </row>
    <row r="136" spans="3:4">
      <c r="C136" s="6"/>
      <c r="D136" s="6"/>
    </row>
    <row r="137" spans="3:4">
      <c r="C137" s="6"/>
      <c r="D137" s="6"/>
    </row>
    <row r="138" spans="3:4">
      <c r="C138" s="6"/>
      <c r="D138" s="6"/>
    </row>
    <row r="139" spans="3:4">
      <c r="C139" s="6"/>
      <c r="D139" s="6"/>
    </row>
    <row r="140" spans="3:4">
      <c r="C140" s="6"/>
      <c r="D140" s="6"/>
    </row>
    <row r="141" spans="3:4">
      <c r="C141" s="6"/>
      <c r="D141" s="6"/>
    </row>
    <row r="142" spans="3:4">
      <c r="C142" s="6"/>
      <c r="D142" s="6"/>
    </row>
    <row r="143" spans="3:4">
      <c r="C143" s="6"/>
      <c r="D143" s="6"/>
    </row>
    <row r="144" spans="3:4">
      <c r="C144" s="6"/>
      <c r="D144" s="6"/>
    </row>
    <row r="145" spans="3:4">
      <c r="C145" s="6"/>
      <c r="D145" s="6"/>
    </row>
    <row r="146" spans="3:4">
      <c r="C146" s="6"/>
      <c r="D146" s="6"/>
    </row>
  </sheetData>
  <sheetProtection selectLockedCells="1" selectUnlockedCells="1"/>
  <sortState xmlns:xlrd2="http://schemas.microsoft.com/office/spreadsheetml/2017/richdata2" ref="A21:T69">
    <sortCondition ref="C21:C6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workbookViewId="0">
      <selection activeCell="A11" sqref="A11"/>
    </sheetView>
  </sheetViews>
  <sheetFormatPr defaultRowHeight="12.75"/>
  <cols>
    <col min="1" max="1" width="19.7109375" style="6" customWidth="1"/>
    <col min="2" max="2" width="4.42578125" customWidth="1"/>
    <col min="3" max="3" width="12.7109375" style="6" customWidth="1"/>
    <col min="4" max="4" width="5.42578125" customWidth="1"/>
    <col min="5" max="5" width="14.85546875" customWidth="1"/>
    <col min="7" max="7" width="12" customWidth="1"/>
    <col min="8" max="8" width="14.140625" style="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38" t="s">
        <v>65</v>
      </c>
      <c r="I1" s="39" t="s">
        <v>66</v>
      </c>
      <c r="J1" s="40" t="s">
        <v>36</v>
      </c>
    </row>
    <row r="2" spans="1:16">
      <c r="I2" s="41" t="s">
        <v>67</v>
      </c>
      <c r="J2" s="42" t="s">
        <v>35</v>
      </c>
    </row>
    <row r="3" spans="1:16">
      <c r="A3" s="43" t="s">
        <v>68</v>
      </c>
      <c r="I3" s="41" t="s">
        <v>69</v>
      </c>
      <c r="J3" s="42" t="s">
        <v>33</v>
      </c>
    </row>
    <row r="4" spans="1:16">
      <c r="I4" s="41" t="s">
        <v>70</v>
      </c>
      <c r="J4" s="42" t="s">
        <v>33</v>
      </c>
    </row>
    <row r="5" spans="1:16">
      <c r="I5" s="44" t="s">
        <v>61</v>
      </c>
      <c r="J5" s="45" t="s">
        <v>34</v>
      </c>
    </row>
    <row r="11" spans="1:16" ht="12.75" customHeight="1">
      <c r="A11" s="6" t="str">
        <f t="shared" ref="A11:A23" si="0">P11</f>
        <v>IBVS 6050 </v>
      </c>
      <c r="B11" s="3" t="str">
        <f t="shared" ref="B11:B23" si="1">IF(H11=INT(H11),"I","II")</f>
        <v>II</v>
      </c>
      <c r="C11" s="6">
        <f t="shared" ref="C11:C23" si="2">1*G11</f>
        <v>55932.814400000003</v>
      </c>
      <c r="D11" t="str">
        <f t="shared" ref="D11:D23" si="3">VLOOKUP(F11,I$1:J$5,2,FALSE)</f>
        <v>vis</v>
      </c>
      <c r="E11">
        <f>VLOOKUP(C11,Active!C$21:E$968,3,FALSE)</f>
        <v>-3196.9986888110975</v>
      </c>
      <c r="F11" s="3" t="s">
        <v>61</v>
      </c>
      <c r="G11" t="str">
        <f t="shared" ref="G11:G23" si="4">MID(I11,3,LEN(I11)-3)</f>
        <v>55932.8144</v>
      </c>
      <c r="H11" s="6">
        <f t="shared" ref="H11:H23" si="5">1*K11</f>
        <v>9226.5</v>
      </c>
      <c r="I11" s="46" t="s">
        <v>71</v>
      </c>
      <c r="J11" s="47" t="s">
        <v>72</v>
      </c>
      <c r="K11" s="46">
        <v>9226.5</v>
      </c>
      <c r="L11" s="46" t="s">
        <v>73</v>
      </c>
      <c r="M11" s="47" t="s">
        <v>74</v>
      </c>
      <c r="N11" s="47" t="s">
        <v>66</v>
      </c>
      <c r="O11" s="48" t="s">
        <v>75</v>
      </c>
      <c r="P11" s="49" t="s">
        <v>76</v>
      </c>
    </row>
    <row r="12" spans="1:16" ht="12.75" customHeight="1">
      <c r="A12" s="6" t="str">
        <f t="shared" si="0"/>
        <v>IBVS 6029 </v>
      </c>
      <c r="B12" s="3" t="str">
        <f t="shared" si="1"/>
        <v>I</v>
      </c>
      <c r="C12" s="6">
        <f t="shared" si="2"/>
        <v>55944.8923</v>
      </c>
      <c r="D12" t="str">
        <f t="shared" si="3"/>
        <v>vis</v>
      </c>
      <c r="E12">
        <f>VLOOKUP(C12,Active!C$21:E$968,3,FALSE)</f>
        <v>-3171.4931187395773</v>
      </c>
      <c r="F12" s="3" t="s">
        <v>61</v>
      </c>
      <c r="G12" t="str">
        <f t="shared" si="4"/>
        <v>55944.8923</v>
      </c>
      <c r="H12" s="6">
        <f t="shared" si="5"/>
        <v>9252</v>
      </c>
      <c r="I12" s="46" t="s">
        <v>77</v>
      </c>
      <c r="J12" s="47" t="s">
        <v>78</v>
      </c>
      <c r="K12" s="46">
        <v>9252</v>
      </c>
      <c r="L12" s="46" t="s">
        <v>79</v>
      </c>
      <c r="M12" s="47" t="s">
        <v>74</v>
      </c>
      <c r="N12" s="47" t="s">
        <v>61</v>
      </c>
      <c r="O12" s="48" t="s">
        <v>80</v>
      </c>
      <c r="P12" s="49" t="s">
        <v>81</v>
      </c>
    </row>
    <row r="13" spans="1:16" ht="12.75" customHeight="1">
      <c r="A13" s="6" t="str">
        <f t="shared" si="0"/>
        <v>BAVM 232 </v>
      </c>
      <c r="B13" s="3" t="str">
        <f t="shared" si="1"/>
        <v>I</v>
      </c>
      <c r="C13" s="6">
        <f t="shared" si="2"/>
        <v>56002.660100000001</v>
      </c>
      <c r="D13" t="str">
        <f t="shared" si="3"/>
        <v>vis</v>
      </c>
      <c r="E13">
        <f>VLOOKUP(C13,Active!C$21:E$968,3,FALSE)</f>
        <v>-3049.5016574112001</v>
      </c>
      <c r="F13" s="3" t="s">
        <v>61</v>
      </c>
      <c r="G13" t="str">
        <f t="shared" si="4"/>
        <v>56002.6601</v>
      </c>
      <c r="H13" s="6">
        <f t="shared" si="5"/>
        <v>9374</v>
      </c>
      <c r="I13" s="46" t="s">
        <v>82</v>
      </c>
      <c r="J13" s="47" t="s">
        <v>83</v>
      </c>
      <c r="K13" s="46">
        <v>9374</v>
      </c>
      <c r="L13" s="46" t="s">
        <v>84</v>
      </c>
      <c r="M13" s="47" t="s">
        <v>74</v>
      </c>
      <c r="N13" s="47" t="s">
        <v>85</v>
      </c>
      <c r="O13" s="48" t="s">
        <v>86</v>
      </c>
      <c r="P13" s="49" t="s">
        <v>87</v>
      </c>
    </row>
    <row r="14" spans="1:16" ht="12.75" customHeight="1">
      <c r="A14" s="6" t="str">
        <f t="shared" si="0"/>
        <v>IBVS 6029 </v>
      </c>
      <c r="B14" s="3" t="str">
        <f t="shared" si="1"/>
        <v>I</v>
      </c>
      <c r="C14" s="6">
        <f t="shared" si="2"/>
        <v>56029.654699999999</v>
      </c>
      <c r="D14" t="str">
        <f t="shared" si="3"/>
        <v>vis</v>
      </c>
      <c r="E14">
        <f>VLOOKUP(C14,Active!C$21:E$968,3,FALSE)</f>
        <v>-2992.4956661500696</v>
      </c>
      <c r="F14" s="3" t="s">
        <v>61</v>
      </c>
      <c r="G14" t="str">
        <f t="shared" si="4"/>
        <v>56029.6547</v>
      </c>
      <c r="H14" s="6">
        <f t="shared" si="5"/>
        <v>9431</v>
      </c>
      <c r="I14" s="46" t="s">
        <v>88</v>
      </c>
      <c r="J14" s="47" t="s">
        <v>89</v>
      </c>
      <c r="K14" s="46" t="s">
        <v>90</v>
      </c>
      <c r="L14" s="46" t="s">
        <v>91</v>
      </c>
      <c r="M14" s="47" t="s">
        <v>74</v>
      </c>
      <c r="N14" s="47" t="s">
        <v>61</v>
      </c>
      <c r="O14" s="48" t="s">
        <v>80</v>
      </c>
      <c r="P14" s="49" t="s">
        <v>81</v>
      </c>
    </row>
    <row r="15" spans="1:16" ht="12.75" customHeight="1">
      <c r="A15" s="6" t="str">
        <f t="shared" si="0"/>
        <v>IBVS 6063 </v>
      </c>
      <c r="B15" s="3" t="str">
        <f t="shared" si="1"/>
        <v>I</v>
      </c>
      <c r="C15" s="6">
        <f t="shared" si="2"/>
        <v>56311.881399999998</v>
      </c>
      <c r="D15" t="str">
        <f t="shared" si="3"/>
        <v>vis</v>
      </c>
      <c r="E15">
        <f>VLOOKUP(C15,Active!C$21:E$968,3,FALSE)</f>
        <v>-2396.5019194800457</v>
      </c>
      <c r="F15" s="3" t="s">
        <v>61</v>
      </c>
      <c r="G15" t="str">
        <f t="shared" si="4"/>
        <v>56311.8814</v>
      </c>
      <c r="H15" s="6">
        <f t="shared" si="5"/>
        <v>10027</v>
      </c>
      <c r="I15" s="46" t="s">
        <v>92</v>
      </c>
      <c r="J15" s="47" t="s">
        <v>93</v>
      </c>
      <c r="K15" s="46" t="s">
        <v>94</v>
      </c>
      <c r="L15" s="46" t="s">
        <v>95</v>
      </c>
      <c r="M15" s="47" t="s">
        <v>74</v>
      </c>
      <c r="N15" s="47" t="s">
        <v>61</v>
      </c>
      <c r="O15" s="48" t="s">
        <v>80</v>
      </c>
      <c r="P15" s="49" t="s">
        <v>96</v>
      </c>
    </row>
    <row r="16" spans="1:16" ht="12.75" customHeight="1">
      <c r="A16" s="6" t="str">
        <f t="shared" si="0"/>
        <v>BAVM 234 </v>
      </c>
      <c r="B16" s="3" t="str">
        <f t="shared" si="1"/>
        <v>II</v>
      </c>
      <c r="C16" s="6">
        <f t="shared" si="2"/>
        <v>56698.526899999997</v>
      </c>
      <c r="D16" t="str">
        <f t="shared" si="3"/>
        <v>vis</v>
      </c>
      <c r="E16">
        <f>VLOOKUP(C16,Active!C$21:E$968,3,FALSE)</f>
        <v>-1580.0012121475902</v>
      </c>
      <c r="F16" s="3" t="s">
        <v>61</v>
      </c>
      <c r="G16" t="str">
        <f t="shared" si="4"/>
        <v>56698.5269</v>
      </c>
      <c r="H16" s="6">
        <f t="shared" si="5"/>
        <v>10843.5</v>
      </c>
      <c r="I16" s="46" t="s">
        <v>97</v>
      </c>
      <c r="J16" s="47" t="s">
        <v>98</v>
      </c>
      <c r="K16" s="46" t="s">
        <v>99</v>
      </c>
      <c r="L16" s="46" t="s">
        <v>100</v>
      </c>
      <c r="M16" s="47" t="s">
        <v>74</v>
      </c>
      <c r="N16" s="47" t="s">
        <v>85</v>
      </c>
      <c r="O16" s="48" t="s">
        <v>101</v>
      </c>
      <c r="P16" s="49" t="s">
        <v>102</v>
      </c>
    </row>
    <row r="17" spans="1:16" ht="12.75" customHeight="1">
      <c r="A17" s="6" t="str">
        <f t="shared" si="0"/>
        <v>BAVM 238 </v>
      </c>
      <c r="B17" s="3" t="str">
        <f t="shared" si="1"/>
        <v>II</v>
      </c>
      <c r="C17" s="6">
        <f t="shared" si="2"/>
        <v>56706.576999999997</v>
      </c>
      <c r="D17" t="str">
        <f t="shared" si="3"/>
        <v>vis</v>
      </c>
      <c r="E17">
        <f>VLOOKUP(C17,Active!C$21:E$968,3,FALSE)</f>
        <v>-1563.0013703180659</v>
      </c>
      <c r="F17" s="3" t="s">
        <v>61</v>
      </c>
      <c r="G17" t="str">
        <f t="shared" si="4"/>
        <v>56706.5770</v>
      </c>
      <c r="H17" s="6">
        <f t="shared" si="5"/>
        <v>10860.5</v>
      </c>
      <c r="I17" s="46" t="s">
        <v>103</v>
      </c>
      <c r="J17" s="47" t="s">
        <v>104</v>
      </c>
      <c r="K17" s="46" t="s">
        <v>105</v>
      </c>
      <c r="L17" s="46" t="s">
        <v>106</v>
      </c>
      <c r="M17" s="47" t="s">
        <v>74</v>
      </c>
      <c r="N17" s="47" t="s">
        <v>85</v>
      </c>
      <c r="O17" s="48" t="s">
        <v>101</v>
      </c>
      <c r="P17" s="49" t="s">
        <v>107</v>
      </c>
    </row>
    <row r="18" spans="1:16" ht="12.75" customHeight="1">
      <c r="A18" s="6" t="str">
        <f t="shared" si="0"/>
        <v>BAVM 238 </v>
      </c>
      <c r="B18" s="3" t="str">
        <f t="shared" si="1"/>
        <v>II</v>
      </c>
      <c r="C18" s="6">
        <f t="shared" si="2"/>
        <v>56709.4202</v>
      </c>
      <c r="D18" t="str">
        <f t="shared" si="3"/>
        <v>vis</v>
      </c>
      <c r="E18">
        <f>VLOOKUP(C18,Active!C$21:E$968,3,FALSE)</f>
        <v>-1556.9972274763929</v>
      </c>
      <c r="F18" s="3" t="s">
        <v>61</v>
      </c>
      <c r="G18" t="str">
        <f t="shared" si="4"/>
        <v>56709.4202</v>
      </c>
      <c r="H18" s="6">
        <f t="shared" si="5"/>
        <v>10866.5</v>
      </c>
      <c r="I18" s="46" t="s">
        <v>108</v>
      </c>
      <c r="J18" s="47" t="s">
        <v>109</v>
      </c>
      <c r="K18" s="46" t="s">
        <v>110</v>
      </c>
      <c r="L18" s="46" t="s">
        <v>111</v>
      </c>
      <c r="M18" s="47" t="s">
        <v>74</v>
      </c>
      <c r="N18" s="47" t="s">
        <v>85</v>
      </c>
      <c r="O18" s="48" t="s">
        <v>101</v>
      </c>
      <c r="P18" s="49" t="s">
        <v>107</v>
      </c>
    </row>
    <row r="19" spans="1:16" ht="12.75" customHeight="1">
      <c r="A19" s="6" t="str">
        <f t="shared" si="0"/>
        <v>BAVM 238 </v>
      </c>
      <c r="B19" s="3" t="str">
        <f t="shared" si="1"/>
        <v>II</v>
      </c>
      <c r="C19" s="6">
        <f t="shared" si="2"/>
        <v>56711.310400000002</v>
      </c>
      <c r="D19" t="str">
        <f t="shared" si="3"/>
        <v>vis</v>
      </c>
      <c r="E19">
        <f>VLOOKUP(C19,Active!C$21:E$968,3,FALSE)</f>
        <v>-1553.0055874935117</v>
      </c>
      <c r="F19" s="3" t="s">
        <v>61</v>
      </c>
      <c r="G19" t="str">
        <f t="shared" si="4"/>
        <v>56711.3104</v>
      </c>
      <c r="H19" s="6">
        <f t="shared" si="5"/>
        <v>10870.5</v>
      </c>
      <c r="I19" s="46" t="s">
        <v>112</v>
      </c>
      <c r="J19" s="47" t="s">
        <v>113</v>
      </c>
      <c r="K19" s="46" t="s">
        <v>114</v>
      </c>
      <c r="L19" s="46" t="s">
        <v>115</v>
      </c>
      <c r="M19" s="47" t="s">
        <v>74</v>
      </c>
      <c r="N19" s="47" t="s">
        <v>85</v>
      </c>
      <c r="O19" s="48" t="s">
        <v>101</v>
      </c>
      <c r="P19" s="49" t="s">
        <v>107</v>
      </c>
    </row>
    <row r="20" spans="1:16" ht="12.75" customHeight="1">
      <c r="A20" s="6" t="str">
        <f t="shared" si="0"/>
        <v>BAVM 241 (=IBVS 6157) </v>
      </c>
      <c r="B20" s="3" t="str">
        <f t="shared" si="1"/>
        <v>I</v>
      </c>
      <c r="C20" s="6">
        <f t="shared" si="2"/>
        <v>56728.595699999998</v>
      </c>
      <c r="D20" t="str">
        <f t="shared" si="3"/>
        <v>vis</v>
      </c>
      <c r="E20">
        <f>VLOOKUP(C20,Active!C$21:E$968,3,FALSE)</f>
        <v>-1516.5032625564559</v>
      </c>
      <c r="F20" s="3" t="s">
        <v>61</v>
      </c>
      <c r="G20" t="str">
        <f t="shared" si="4"/>
        <v>56728.5957</v>
      </c>
      <c r="H20" s="6">
        <f t="shared" si="5"/>
        <v>10907</v>
      </c>
      <c r="I20" s="46" t="s">
        <v>116</v>
      </c>
      <c r="J20" s="47" t="s">
        <v>117</v>
      </c>
      <c r="K20" s="46" t="s">
        <v>118</v>
      </c>
      <c r="L20" s="46" t="s">
        <v>119</v>
      </c>
      <c r="M20" s="47" t="s">
        <v>74</v>
      </c>
      <c r="N20" s="47" t="s">
        <v>61</v>
      </c>
      <c r="O20" s="48" t="s">
        <v>120</v>
      </c>
      <c r="P20" s="49" t="s">
        <v>121</v>
      </c>
    </row>
    <row r="21" spans="1:16" ht="12.75" customHeight="1">
      <c r="A21" s="6" t="str">
        <f t="shared" si="0"/>
        <v>BAVM 239 </v>
      </c>
      <c r="B21" s="3" t="str">
        <f t="shared" si="1"/>
        <v>I</v>
      </c>
      <c r="C21" s="6">
        <f t="shared" si="2"/>
        <v>57035.449099999998</v>
      </c>
      <c r="D21" t="str">
        <f t="shared" si="3"/>
        <v>vis</v>
      </c>
      <c r="E21">
        <f>VLOOKUP(C21,Active!C$21:E$968,3,FALSE)</f>
        <v>-868.50395014400135</v>
      </c>
      <c r="F21" s="3" t="s">
        <v>61</v>
      </c>
      <c r="G21" t="str">
        <f t="shared" si="4"/>
        <v>57035.4491</v>
      </c>
      <c r="H21" s="6">
        <f t="shared" si="5"/>
        <v>11555</v>
      </c>
      <c r="I21" s="46" t="s">
        <v>122</v>
      </c>
      <c r="J21" s="47" t="s">
        <v>123</v>
      </c>
      <c r="K21" s="46" t="s">
        <v>124</v>
      </c>
      <c r="L21" s="46" t="s">
        <v>125</v>
      </c>
      <c r="M21" s="47" t="s">
        <v>74</v>
      </c>
      <c r="N21" s="47" t="s">
        <v>85</v>
      </c>
      <c r="O21" s="48" t="s">
        <v>101</v>
      </c>
      <c r="P21" s="49" t="s">
        <v>126</v>
      </c>
    </row>
    <row r="22" spans="1:16" ht="12.75" customHeight="1">
      <c r="A22" s="6" t="str">
        <f t="shared" si="0"/>
        <v>BAVM 239 </v>
      </c>
      <c r="B22" s="3" t="str">
        <f t="shared" si="1"/>
        <v>II</v>
      </c>
      <c r="C22" s="6">
        <f t="shared" si="2"/>
        <v>57035.6872</v>
      </c>
      <c r="D22" t="str">
        <f t="shared" si="3"/>
        <v>vis</v>
      </c>
      <c r="E22">
        <f>VLOOKUP(C22,Active!C$21:E$968,3,FALSE)</f>
        <v>-868.00114119260343</v>
      </c>
      <c r="F22" s="3" t="s">
        <v>61</v>
      </c>
      <c r="G22" t="str">
        <f t="shared" si="4"/>
        <v>57035.6872</v>
      </c>
      <c r="H22" s="6">
        <f t="shared" si="5"/>
        <v>11555.5</v>
      </c>
      <c r="I22" s="46" t="s">
        <v>127</v>
      </c>
      <c r="J22" s="47" t="s">
        <v>128</v>
      </c>
      <c r="K22" s="46" t="s">
        <v>129</v>
      </c>
      <c r="L22" s="46" t="s">
        <v>130</v>
      </c>
      <c r="M22" s="47" t="s">
        <v>74</v>
      </c>
      <c r="N22" s="47" t="s">
        <v>85</v>
      </c>
      <c r="O22" s="48" t="s">
        <v>101</v>
      </c>
      <c r="P22" s="49" t="s">
        <v>126</v>
      </c>
    </row>
    <row r="23" spans="1:16" ht="12.75" customHeight="1">
      <c r="A23" s="6" t="str">
        <f t="shared" si="0"/>
        <v>BAVM 241 (=IBVS 6157) </v>
      </c>
      <c r="B23" s="3" t="str">
        <f t="shared" si="1"/>
        <v>I</v>
      </c>
      <c r="C23" s="6">
        <f t="shared" si="2"/>
        <v>57090.380700000002</v>
      </c>
      <c r="D23" t="str">
        <f t="shared" si="3"/>
        <v>vis</v>
      </c>
      <c r="E23">
        <f>VLOOKUP(C23,Active!C$21:E$968,3,FALSE)</f>
        <v>-752.50184936976109</v>
      </c>
      <c r="F23" s="3" t="s">
        <v>61</v>
      </c>
      <c r="G23" t="str">
        <f t="shared" si="4"/>
        <v>57090.3807</v>
      </c>
      <c r="H23" s="6">
        <f t="shared" si="5"/>
        <v>11671</v>
      </c>
      <c r="I23" s="46" t="s">
        <v>131</v>
      </c>
      <c r="J23" s="47" t="s">
        <v>132</v>
      </c>
      <c r="K23" s="46" t="s">
        <v>133</v>
      </c>
      <c r="L23" s="46" t="s">
        <v>134</v>
      </c>
      <c r="M23" s="47" t="s">
        <v>74</v>
      </c>
      <c r="N23" s="47" t="s">
        <v>85</v>
      </c>
      <c r="O23" s="48" t="s">
        <v>101</v>
      </c>
      <c r="P23" s="49" t="s">
        <v>121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2023-01-25T05:20:17Z</dcterms:created>
  <dcterms:modified xsi:type="dcterms:W3CDTF">2025-01-10T04:35:37Z</dcterms:modified>
</cp:coreProperties>
</file>