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E9C91F-5094-4D64-9579-856E779F8B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7" i="1" l="1"/>
  <c r="F107" i="1" s="1"/>
  <c r="G107" i="1" s="1"/>
  <c r="K107" i="1" s="1"/>
  <c r="Q107" i="1"/>
  <c r="F14" i="1"/>
  <c r="E106" i="1"/>
  <c r="F106" i="1" s="1"/>
  <c r="G106" i="1" s="1"/>
  <c r="K106" i="1" s="1"/>
  <c r="Q106" i="1"/>
  <c r="C7" i="1"/>
  <c r="C9" i="1"/>
  <c r="D9" i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/>
  <c r="G24" i="1" s="1"/>
  <c r="H24" i="1" s="1"/>
  <c r="Q24" i="1"/>
  <c r="E25" i="1"/>
  <c r="F25" i="1"/>
  <c r="G25" i="1" s="1"/>
  <c r="H25" i="1" s="1"/>
  <c r="Q25" i="1"/>
  <c r="E26" i="1"/>
  <c r="F26" i="1"/>
  <c r="G26" i="1" s="1"/>
  <c r="H26" i="1" s="1"/>
  <c r="Q26" i="1"/>
  <c r="E27" i="1"/>
  <c r="F27" i="1"/>
  <c r="G27" i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/>
  <c r="G32" i="1" s="1"/>
  <c r="H32" i="1" s="1"/>
  <c r="Q32" i="1"/>
  <c r="E33" i="1"/>
  <c r="F33" i="1"/>
  <c r="G33" i="1" s="1"/>
  <c r="H33" i="1" s="1"/>
  <c r="Q33" i="1"/>
  <c r="E34" i="1"/>
  <c r="F34" i="1"/>
  <c r="G34" i="1" s="1"/>
  <c r="H34" i="1" s="1"/>
  <c r="Q34" i="1"/>
  <c r="E35" i="1"/>
  <c r="F35" i="1"/>
  <c r="G35" i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J38" i="1" s="1"/>
  <c r="Q38" i="1"/>
  <c r="E39" i="1"/>
  <c r="F39" i="1" s="1"/>
  <c r="G39" i="1" s="1"/>
  <c r="J39" i="1" s="1"/>
  <c r="Q39" i="1"/>
  <c r="E40" i="1"/>
  <c r="F40" i="1"/>
  <c r="G40" i="1" s="1"/>
  <c r="H40" i="1" s="1"/>
  <c r="Q40" i="1"/>
  <c r="E41" i="1"/>
  <c r="F41" i="1"/>
  <c r="G41" i="1" s="1"/>
  <c r="U41" i="1" s="1"/>
  <c r="Q41" i="1"/>
  <c r="E42" i="1"/>
  <c r="F42" i="1"/>
  <c r="G42" i="1" s="1"/>
  <c r="U42" i="1" s="1"/>
  <c r="Q42" i="1"/>
  <c r="E43" i="1"/>
  <c r="F43" i="1"/>
  <c r="G43" i="1"/>
  <c r="U43" i="1" s="1"/>
  <c r="Q43" i="1"/>
  <c r="E44" i="1"/>
  <c r="F44" i="1" s="1"/>
  <c r="G44" i="1" s="1"/>
  <c r="U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/>
  <c r="G48" i="1" s="1"/>
  <c r="H48" i="1" s="1"/>
  <c r="Q48" i="1"/>
  <c r="E49" i="1"/>
  <c r="F49" i="1"/>
  <c r="G49" i="1" s="1"/>
  <c r="H49" i="1" s="1"/>
  <c r="Q49" i="1"/>
  <c r="E50" i="1"/>
  <c r="F50" i="1"/>
  <c r="G50" i="1" s="1"/>
  <c r="I50" i="1" s="1"/>
  <c r="Q50" i="1"/>
  <c r="E51" i="1"/>
  <c r="F51" i="1"/>
  <c r="G51" i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/>
  <c r="G56" i="1" s="1"/>
  <c r="I56" i="1" s="1"/>
  <c r="Q56" i="1"/>
  <c r="E57" i="1"/>
  <c r="F57" i="1"/>
  <c r="G57" i="1" s="1"/>
  <c r="I57" i="1" s="1"/>
  <c r="Q57" i="1"/>
  <c r="E58" i="1"/>
  <c r="F58" i="1"/>
  <c r="G58" i="1" s="1"/>
  <c r="I58" i="1" s="1"/>
  <c r="Q58" i="1"/>
  <c r="E59" i="1"/>
  <c r="F59" i="1"/>
  <c r="G59" i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/>
  <c r="G64" i="1" s="1"/>
  <c r="I64" i="1" s="1"/>
  <c r="Q64" i="1"/>
  <c r="E65" i="1"/>
  <c r="F65" i="1"/>
  <c r="G65" i="1" s="1"/>
  <c r="I65" i="1" s="1"/>
  <c r="Q65" i="1"/>
  <c r="E66" i="1"/>
  <c r="F66" i="1"/>
  <c r="G66" i="1" s="1"/>
  <c r="I66" i="1" s="1"/>
  <c r="Q66" i="1"/>
  <c r="E67" i="1"/>
  <c r="F67" i="1"/>
  <c r="G67" i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/>
  <c r="G72" i="1" s="1"/>
  <c r="I72" i="1" s="1"/>
  <c r="Q72" i="1"/>
  <c r="E73" i="1"/>
  <c r="F73" i="1"/>
  <c r="G73" i="1" s="1"/>
  <c r="I73" i="1" s="1"/>
  <c r="Q73" i="1"/>
  <c r="E74" i="1"/>
  <c r="F74" i="1"/>
  <c r="G74" i="1" s="1"/>
  <c r="I74" i="1" s="1"/>
  <c r="Q74" i="1"/>
  <c r="E75" i="1"/>
  <c r="F75" i="1"/>
  <c r="G75" i="1"/>
  <c r="I75" i="1" s="1"/>
  <c r="Q75" i="1"/>
  <c r="E76" i="1"/>
  <c r="F76" i="1"/>
  <c r="G76" i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/>
  <c r="G80" i="1" s="1"/>
  <c r="I80" i="1" s="1"/>
  <c r="Q80" i="1"/>
  <c r="E81" i="1"/>
  <c r="F81" i="1"/>
  <c r="G81" i="1" s="1"/>
  <c r="I81" i="1" s="1"/>
  <c r="Q81" i="1"/>
  <c r="E82" i="1"/>
  <c r="F82" i="1"/>
  <c r="Q82" i="1"/>
  <c r="E83" i="1"/>
  <c r="F83" i="1"/>
  <c r="G83" i="1" s="1"/>
  <c r="I83" i="1" s="1"/>
  <c r="Q83" i="1"/>
  <c r="E84" i="1"/>
  <c r="F84" i="1"/>
  <c r="G84" i="1" s="1"/>
  <c r="I84" i="1" s="1"/>
  <c r="Q84" i="1"/>
  <c r="E85" i="1"/>
  <c r="F85" i="1"/>
  <c r="G85" i="1"/>
  <c r="I85" i="1" s="1"/>
  <c r="Q85" i="1"/>
  <c r="E86" i="1"/>
  <c r="F86" i="1"/>
  <c r="G86" i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/>
  <c r="G90" i="1" s="1"/>
  <c r="I90" i="1" s="1"/>
  <c r="Q90" i="1"/>
  <c r="E91" i="1"/>
  <c r="F91" i="1"/>
  <c r="G91" i="1" s="1"/>
  <c r="I91" i="1" s="1"/>
  <c r="Q91" i="1"/>
  <c r="E92" i="1"/>
  <c r="F92" i="1"/>
  <c r="G92" i="1" s="1"/>
  <c r="I92" i="1" s="1"/>
  <c r="Q92" i="1"/>
  <c r="E93" i="1"/>
  <c r="F93" i="1"/>
  <c r="G93" i="1"/>
  <c r="I93" i="1" s="1"/>
  <c r="Q93" i="1"/>
  <c r="E94" i="1"/>
  <c r="F94" i="1"/>
  <c r="G94" i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K97" i="1" s="1"/>
  <c r="Q97" i="1"/>
  <c r="E98" i="1"/>
  <c r="F98" i="1"/>
  <c r="G98" i="1" s="1"/>
  <c r="K98" i="1" s="1"/>
  <c r="Q98" i="1"/>
  <c r="E99" i="1"/>
  <c r="F99" i="1"/>
  <c r="G99" i="1" s="1"/>
  <c r="K99" i="1" s="1"/>
  <c r="Q99" i="1"/>
  <c r="E100" i="1"/>
  <c r="F100" i="1"/>
  <c r="G100" i="1" s="1"/>
  <c r="I100" i="1" s="1"/>
  <c r="Q100" i="1"/>
  <c r="E101" i="1"/>
  <c r="F101" i="1"/>
  <c r="G101" i="1"/>
  <c r="K101" i="1" s="1"/>
  <c r="Q101" i="1"/>
  <c r="E102" i="1"/>
  <c r="F102" i="1"/>
  <c r="G102" i="1"/>
  <c r="K102" i="1" s="1"/>
  <c r="Q102" i="1"/>
  <c r="E103" i="1"/>
  <c r="F103" i="1" s="1"/>
  <c r="G103" i="1" s="1"/>
  <c r="K103" i="1" s="1"/>
  <c r="Q103" i="1"/>
  <c r="E104" i="1"/>
  <c r="F104" i="1" s="1"/>
  <c r="G104" i="1" s="1"/>
  <c r="K104" i="1" s="1"/>
  <c r="Q104" i="1"/>
  <c r="E105" i="1"/>
  <c r="F105" i="1" s="1"/>
  <c r="G105" i="1" s="1"/>
  <c r="K105" i="1" s="1"/>
  <c r="Q105" i="1"/>
  <c r="A11" i="2"/>
  <c r="C11" i="2"/>
  <c r="E11" i="2"/>
  <c r="D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E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D16" i="2"/>
  <c r="G16" i="2"/>
  <c r="C16" i="2"/>
  <c r="E16" i="2"/>
  <c r="H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C19" i="2"/>
  <c r="E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E21" i="2"/>
  <c r="G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E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D29" i="2"/>
  <c r="E29" i="2"/>
  <c r="G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E31" i="2"/>
  <c r="H31" i="2"/>
  <c r="B31" i="2"/>
  <c r="A32" i="2"/>
  <c r="B32" i="2"/>
  <c r="D32" i="2"/>
  <c r="G32" i="2"/>
  <c r="C32" i="2"/>
  <c r="E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E35" i="2"/>
  <c r="D35" i="2"/>
  <c r="G35" i="2"/>
  <c r="H35" i="2"/>
  <c r="B35" i="2"/>
  <c r="A36" i="2"/>
  <c r="B36" i="2"/>
  <c r="D36" i="2"/>
  <c r="G36" i="2"/>
  <c r="C36" i="2"/>
  <c r="E36" i="2"/>
  <c r="H36" i="2"/>
  <c r="A37" i="2"/>
  <c r="C37" i="2"/>
  <c r="D37" i="2"/>
  <c r="E37" i="2"/>
  <c r="G37" i="2"/>
  <c r="H37" i="2"/>
  <c r="B37" i="2"/>
  <c r="A38" i="2"/>
  <c r="D38" i="2"/>
  <c r="G38" i="2"/>
  <c r="C38" i="2"/>
  <c r="E38" i="2"/>
  <c r="H38" i="2"/>
  <c r="B38" i="2"/>
  <c r="A39" i="2"/>
  <c r="D39" i="2"/>
  <c r="G39" i="2"/>
  <c r="C39" i="2"/>
  <c r="E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E43" i="2"/>
  <c r="D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E45" i="2"/>
  <c r="G45" i="2"/>
  <c r="H45" i="2"/>
  <c r="B45" i="2"/>
  <c r="A46" i="2"/>
  <c r="D46" i="2"/>
  <c r="G46" i="2"/>
  <c r="C46" i="2"/>
  <c r="E46" i="2"/>
  <c r="H46" i="2"/>
  <c r="B46" i="2"/>
  <c r="A47" i="2"/>
  <c r="C47" i="2"/>
  <c r="D47" i="2"/>
  <c r="G47" i="2"/>
  <c r="H47" i="2"/>
  <c r="B47" i="2"/>
  <c r="A48" i="2"/>
  <c r="F48" i="2"/>
  <c r="D48" i="2"/>
  <c r="G48" i="2"/>
  <c r="C48" i="2"/>
  <c r="E48" i="2"/>
  <c r="H48" i="2"/>
  <c r="B48" i="2"/>
  <c r="A49" i="2"/>
  <c r="F49" i="2"/>
  <c r="D49" i="2"/>
  <c r="G49" i="2"/>
  <c r="C49" i="2"/>
  <c r="E49" i="2"/>
  <c r="H49" i="2"/>
  <c r="B49" i="2"/>
  <c r="A50" i="2"/>
  <c r="F50" i="2"/>
  <c r="D50" i="2"/>
  <c r="G50" i="2"/>
  <c r="C50" i="2"/>
  <c r="E50" i="2"/>
  <c r="H50" i="2"/>
  <c r="B50" i="2"/>
  <c r="A51" i="2"/>
  <c r="F51" i="2"/>
  <c r="D51" i="2"/>
  <c r="G51" i="2"/>
  <c r="C51" i="2"/>
  <c r="E51" i="2"/>
  <c r="H51" i="2"/>
  <c r="B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D65" i="2"/>
  <c r="E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C71" i="2"/>
  <c r="E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E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E87" i="2"/>
  <c r="F87" i="2"/>
  <c r="D87" i="2"/>
  <c r="G87" i="2"/>
  <c r="H87" i="2"/>
  <c r="A88" i="2"/>
  <c r="C88" i="2"/>
  <c r="E88" i="2"/>
  <c r="D88" i="2"/>
  <c r="G88" i="2"/>
  <c r="H88" i="2"/>
  <c r="B88" i="2"/>
  <c r="A89" i="2"/>
  <c r="B89" i="2"/>
  <c r="D89" i="2"/>
  <c r="G89" i="2"/>
  <c r="C89" i="2"/>
  <c r="H89" i="2"/>
  <c r="A90" i="2"/>
  <c r="C90" i="2"/>
  <c r="D90" i="2"/>
  <c r="E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E92" i="2"/>
  <c r="G92" i="2"/>
  <c r="H92" i="2"/>
  <c r="B92" i="2"/>
  <c r="C11" i="1"/>
  <c r="C12" i="1"/>
  <c r="O107" i="1" l="1"/>
  <c r="E47" i="2"/>
  <c r="E89" i="2"/>
  <c r="E56" i="2"/>
  <c r="F15" i="1"/>
  <c r="O106" i="1"/>
  <c r="O85" i="1"/>
  <c r="O92" i="1"/>
  <c r="O95" i="1"/>
  <c r="O89" i="1"/>
  <c r="O96" i="1"/>
  <c r="O99" i="1"/>
  <c r="O93" i="1"/>
  <c r="O100" i="1"/>
  <c r="O103" i="1"/>
  <c r="O86" i="1"/>
  <c r="O97" i="1"/>
  <c r="O104" i="1"/>
  <c r="O102" i="1"/>
  <c r="O88" i="1"/>
  <c r="O91" i="1"/>
  <c r="O90" i="1"/>
  <c r="O101" i="1"/>
  <c r="C15" i="1"/>
  <c r="O94" i="1"/>
  <c r="O105" i="1"/>
  <c r="O83" i="1"/>
  <c r="O98" i="1"/>
  <c r="O84" i="1"/>
  <c r="O87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<sst xmlns="http://schemas.openxmlformats.org/spreadsheetml/2006/main" count="891" uniqueCount="425">
  <si>
    <t>UW Vir / GSC 06113-00998</t>
  </si>
  <si>
    <t>System Type:</t>
  </si>
  <si>
    <t>EA/SD</t>
  </si>
  <si>
    <t>Likely eccentric orbit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</si>
  <si>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</si>
  <si>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</si>
  <si>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</si>
  <si>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</si>
  <si>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</si>
  <si>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</si>
  <si>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</si>
  <si>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</si>
  <si>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</si>
  <si>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</si>
  <si>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</si>
  <si>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</si>
  <si>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</si>
  <si>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</si>
  <si>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</si>
  <si>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</si>
  <si>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</si>
  <si>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</si>
  <si>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</si>
  <si>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</si>
  <si>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</si>
  <si>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</si>
  <si>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</si>
  <si>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</si>
  <si>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</si>
  <si>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</si>
  <si>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</si>
  <si>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</si>
  <si>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</si>
  <si>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</si>
  <si>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</si>
  <si>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</si>
  <si>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</si>
  <si>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</si>
  <si>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</si>
  <si>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</si>
  <si>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</si>
  <si>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</si>
  <si>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</si>
  <si>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HB 844.7 </t>
  </si>
  <si>
    <t>I</t>
  </si>
  <si>
    <t> HB 845.18 </t>
  </si>
  <si>
    <t> HA 113.77 </t>
  </si>
  <si>
    <t> AA 26.346 </t>
  </si>
  <si>
    <t> CTAD 1 </t>
  </si>
  <si>
    <t> IODE 4.3.56 </t>
  </si>
  <si>
    <t> AAC 5.78 </t>
  </si>
  <si>
    <t> AA 6.145 </t>
  </si>
  <si>
    <t>BBSAG Bull...29</t>
  </si>
  <si>
    <t>Peter H</t>
  </si>
  <si>
    <t>B</t>
  </si>
  <si>
    <t>BBSAG Bull...30</t>
  </si>
  <si>
    <t>Locher K</t>
  </si>
  <si>
    <t>BBSAG Bull.2</t>
  </si>
  <si>
    <t>BBSAG Bull.15</t>
  </si>
  <si>
    <t>v</t>
  </si>
  <si>
    <t>BBSAG 22</t>
  </si>
  <si>
    <t>K</t>
  </si>
  <si>
    <t>BBSAG Bull.22</t>
  </si>
  <si>
    <t>BBSAG Bull.27</t>
  </si>
  <si>
    <t>BBSAG Bull.28</t>
  </si>
  <si>
    <t>Germann R</t>
  </si>
  <si>
    <t>Diethelm R</t>
  </si>
  <si>
    <t>BBSAG Bull.33</t>
  </si>
  <si>
    <t>BBSAG Bull.36</t>
  </si>
  <si>
    <t>BBSAG Bull.43</t>
  </si>
  <si>
    <t>BBSAG Bull.44</t>
  </si>
  <si>
    <t>BBSAG Bull.46</t>
  </si>
  <si>
    <t>BBSAG Bull.47</t>
  </si>
  <si>
    <t>BBSAG Bull.52</t>
  </si>
  <si>
    <t>BBSAG Bull.59</t>
  </si>
  <si>
    <t>BBSAG Bull.60</t>
  </si>
  <si>
    <t>BBSAG 60</t>
  </si>
  <si>
    <t>BBSAG Bull.61</t>
  </si>
  <si>
    <t>Mavrofridis G</t>
  </si>
  <si>
    <t>BBSAG Bull.64</t>
  </si>
  <si>
    <t>BBSAG Bull.65</t>
  </si>
  <si>
    <t>BBSAG Bull.66</t>
  </si>
  <si>
    <t>BBSAG Bull.76</t>
  </si>
  <si>
    <t>BBSAG Bull.84</t>
  </si>
  <si>
    <t>BBSAG Bull.87</t>
  </si>
  <si>
    <t>&lt;&lt;&lt; NOTE:  Secondary</t>
  </si>
  <si>
    <t>BBSAG Bull.95</t>
  </si>
  <si>
    <t>BBSAG Bull.97</t>
  </si>
  <si>
    <t>BBSAG Bull.106</t>
  </si>
  <si>
    <t>BBSAG Bull.108</t>
  </si>
  <si>
    <t>VSB 47 </t>
  </si>
  <si>
    <t>BBSAG Bull.109</t>
  </si>
  <si>
    <t>Kohl M</t>
  </si>
  <si>
    <t>BBSAG Bull.112</t>
  </si>
  <si>
    <t>BBSAG Bull.114</t>
  </si>
  <si>
    <t>BBSAG 119</t>
  </si>
  <si>
    <t>K.Locher</t>
  </si>
  <si>
    <t> BBS 122 </t>
  </si>
  <si>
    <t>VSB 39 </t>
  </si>
  <si>
    <t> BBS 127 </t>
  </si>
  <si>
    <t>IBVS 5438</t>
  </si>
  <si>
    <t>IBVS 5543</t>
  </si>
  <si>
    <t>IBVS 5843</t>
  </si>
  <si>
    <t>VSB 45 </t>
  </si>
  <si>
    <t>VSB 46 </t>
  </si>
  <si>
    <t>IBVS 5988</t>
  </si>
  <si>
    <t>OEJV 0147</t>
  </si>
  <si>
    <t>OEJV 0181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</si>
  <si>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</si>
  <si>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</si>
  <si>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</si>
  <si>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</si>
  <si>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</si>
  <si>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</si>
  <si>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</si>
  <si>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</si>
  <si>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2441042.569 </t>
  </si>
  <si>
    <t> 01.04.1971 01:39 </t>
  </si>
  <si>
    <t> 0.011 </t>
  </si>
  <si>
    <t>V </t>
  </si>
  <si>
    <t> H.Peter </t>
  </si>
  <si>
    <t> ORI 124 </t>
  </si>
  <si>
    <t>2441062.487 </t>
  </si>
  <si>
    <t> 20.04.1971 23:41 </t>
  </si>
  <si>
    <t> 0.010 </t>
  </si>
  <si>
    <t> ORI 125 </t>
  </si>
  <si>
    <t>2441062.491 </t>
  </si>
  <si>
    <t> 20.04.1971 23:47 </t>
  </si>
  <si>
    <t> 0.014 </t>
  </si>
  <si>
    <t> K.Locher </t>
  </si>
  <si>
    <t>2441091.460 </t>
  </si>
  <si>
    <t> 19.05.1971 23:02 </t>
  </si>
  <si>
    <t>2441397.475 </t>
  </si>
  <si>
    <t> 20.03.1972 23:24 </t>
  </si>
  <si>
    <t> 0.005 </t>
  </si>
  <si>
    <t> BBS 2 </t>
  </si>
  <si>
    <t>2442152.565 </t>
  </si>
  <si>
    <t> 15.04.1974 01:33 </t>
  </si>
  <si>
    <t> 0.001 </t>
  </si>
  <si>
    <t> BBS 15 </t>
  </si>
  <si>
    <t>2442545.489 </t>
  </si>
  <si>
    <t> 12.05.1975 23:44 </t>
  </si>
  <si>
    <t> -0.013 </t>
  </si>
  <si>
    <t> BBS 22 </t>
  </si>
  <si>
    <t>2442842.472 </t>
  </si>
  <si>
    <t> 04.03.1976 23:19 </t>
  </si>
  <si>
    <t> 0.003 </t>
  </si>
  <si>
    <t> BBS 27 </t>
  </si>
  <si>
    <t>2442871.446 </t>
  </si>
  <si>
    <t> 02.04.1976 22:42 </t>
  </si>
  <si>
    <t> 0.004 </t>
  </si>
  <si>
    <t> BBS 28 </t>
  </si>
  <si>
    <t>2442900.407 </t>
  </si>
  <si>
    <t> 01.05.1976 21:46 </t>
  </si>
  <si>
    <t> -0.007 </t>
  </si>
  <si>
    <t> R.Germann </t>
  </si>
  <si>
    <t>2442900.412 </t>
  </si>
  <si>
    <t> 01.05.1976 21:53 </t>
  </si>
  <si>
    <t> -0.002 </t>
  </si>
  <si>
    <t>2442900.414 </t>
  </si>
  <si>
    <t> 01.05.1976 21:56 </t>
  </si>
  <si>
    <t> -0.000 </t>
  </si>
  <si>
    <t> R.Diethelm </t>
  </si>
  <si>
    <t>2443273.432 </t>
  </si>
  <si>
    <t> 09.05.1977 22:22 </t>
  </si>
  <si>
    <t> BBS 33 </t>
  </si>
  <si>
    <t>2443510.646 </t>
  </si>
  <si>
    <t> 02.01.1978 03:30 </t>
  </si>
  <si>
    <t> BBS 36 </t>
  </si>
  <si>
    <t>2443981.447 </t>
  </si>
  <si>
    <t> 17.04.1979 22:43 </t>
  </si>
  <si>
    <t> BBS 43 </t>
  </si>
  <si>
    <t>2444010.422 </t>
  </si>
  <si>
    <t> 16.05.1979 22:07 </t>
  </si>
  <si>
    <t> 0.002 </t>
  </si>
  <si>
    <t>2444039.389 </t>
  </si>
  <si>
    <t> 14.06.1979 21:20 </t>
  </si>
  <si>
    <t> -0.003 </t>
  </si>
  <si>
    <t> BBS 44 </t>
  </si>
  <si>
    <t>2444267.549 </t>
  </si>
  <si>
    <t> 29.01.1980 01:10 </t>
  </si>
  <si>
    <t> -0.001 </t>
  </si>
  <si>
    <t> BBS 46 </t>
  </si>
  <si>
    <t>2444345.413 </t>
  </si>
  <si>
    <t> 15.04.1980 21:54 </t>
  </si>
  <si>
    <t> 0.000 </t>
  </si>
  <si>
    <t> BBS 47 </t>
  </si>
  <si>
    <t>2444354.467 </t>
  </si>
  <si>
    <t> 24.04.1980 23:12 </t>
  </si>
  <si>
    <t>2444629.700 </t>
  </si>
  <si>
    <t> 25.01.1981 04:48 </t>
  </si>
  <si>
    <t> -0.005 </t>
  </si>
  <si>
    <t> BBS 52 </t>
  </si>
  <si>
    <t>2445022.641 </t>
  </si>
  <si>
    <t> 22.02.1982 03:23 </t>
  </si>
  <si>
    <t> BBS 59 </t>
  </si>
  <si>
    <t>2445082.399 </t>
  </si>
  <si>
    <t> 22.04.1982 21:34 </t>
  </si>
  <si>
    <t> BBS 60 </t>
  </si>
  <si>
    <t>2445111.373 </t>
  </si>
  <si>
    <t> 21.05.1982 20:57 </t>
  </si>
  <si>
    <t> G.Mavrofridis </t>
  </si>
  <si>
    <t>2445111.388 </t>
  </si>
  <si>
    <t> 21.05.1982 21:18 </t>
  </si>
  <si>
    <t> 0.017 </t>
  </si>
  <si>
    <t> G.Stefanopoulos </t>
  </si>
  <si>
    <t> BBS 61 </t>
  </si>
  <si>
    <t>2445140.349 </t>
  </si>
  <si>
    <t> 19.06.1982 20:22 </t>
  </si>
  <si>
    <t> 0.006 </t>
  </si>
  <si>
    <t>2445357.632 </t>
  </si>
  <si>
    <t> 23.01.1983 03:10 </t>
  </si>
  <si>
    <t> BBS 64 </t>
  </si>
  <si>
    <t>2445406.525 </t>
  </si>
  <si>
    <t> 13.03.1983 00:36 </t>
  </si>
  <si>
    <t> BBS 65 </t>
  </si>
  <si>
    <t>2445464.472 </t>
  </si>
  <si>
    <t> 09.05.1983 23:19 </t>
  </si>
  <si>
    <t> BBS 66 </t>
  </si>
  <si>
    <t>2446172.477 </t>
  </si>
  <si>
    <t> 16.04.1985 23:26 </t>
  </si>
  <si>
    <t> -0.008 </t>
  </si>
  <si>
    <t> BBS 76 </t>
  </si>
  <si>
    <t>2446938.433 </t>
  </si>
  <si>
    <t> 22.05.1987 22:23 </t>
  </si>
  <si>
    <t> -0.011 </t>
  </si>
  <si>
    <t> BBS 84 </t>
  </si>
  <si>
    <t>2447192.566 </t>
  </si>
  <si>
    <t> 01.02.1988 01:35 </t>
  </si>
  <si>
    <t> -0.291 </t>
  </si>
  <si>
    <t> BBS 87 </t>
  </si>
  <si>
    <t>2448001.363 </t>
  </si>
  <si>
    <t> 19.04.1990 20:42 </t>
  </si>
  <si>
    <t> -0.006 </t>
  </si>
  <si>
    <t> BBS 95 </t>
  </si>
  <si>
    <t>2448010.412 </t>
  </si>
  <si>
    <t> 28.04.1990 21:53 </t>
  </si>
  <si>
    <t>2448314.622 </t>
  </si>
  <si>
    <t> 27.02.1991 02:55 </t>
  </si>
  <si>
    <t> BBS 97 </t>
  </si>
  <si>
    <t>2449395.644 </t>
  </si>
  <si>
    <t> 12.02.1994 03:27 </t>
  </si>
  <si>
    <t> -0.022 </t>
  </si>
  <si>
    <t> BBS 106 </t>
  </si>
  <si>
    <t>2449779.527 </t>
  </si>
  <si>
    <t> 03.03.1995 00:38 </t>
  </si>
  <si>
    <t> -0.023 </t>
  </si>
  <si>
    <t> BBS 108 </t>
  </si>
  <si>
    <t>2449866.446 </t>
  </si>
  <si>
    <t> 28.05.1995 22:42 </t>
  </si>
  <si>
    <t> -0.021 </t>
  </si>
  <si>
    <t> M.Kohl </t>
  </si>
  <si>
    <t> BBS 109 </t>
  </si>
  <si>
    <t>2450201.430 </t>
  </si>
  <si>
    <t> 27.04.1996 22:19 </t>
  </si>
  <si>
    <t> -0.031 </t>
  </si>
  <si>
    <t> BBS 112 </t>
  </si>
  <si>
    <t>2450525.563 </t>
  </si>
  <si>
    <t> 18.03.1997 01:30 </t>
  </si>
  <si>
    <t> -0.027 </t>
  </si>
  <si>
    <t> BBS 114 </t>
  </si>
  <si>
    <t>2451184.680 </t>
  </si>
  <si>
    <t> 06.01.1999 04:19 </t>
  </si>
  <si>
    <t> -0.032 </t>
  </si>
  <si>
    <t> BBS 119 </t>
  </si>
  <si>
    <t>2452658.645 </t>
  </si>
  <si>
    <t> 19.01.2003 03:28 </t>
  </si>
  <si>
    <t> -0.038 </t>
  </si>
  <si>
    <t> BBS 129 </t>
  </si>
  <si>
    <t>2453060.635 </t>
  </si>
  <si>
    <t> 25.02.2004 03:14 </t>
  </si>
  <si>
    <t> -0.040 </t>
  </si>
  <si>
    <t> BBS 130 </t>
  </si>
  <si>
    <t>2453480.7279 </t>
  </si>
  <si>
    <t> 20.04.2005 05:28 </t>
  </si>
  <si>
    <t> -0.0475 </t>
  </si>
  <si>
    <t>C </t>
  </si>
  <si>
    <t>-I</t>
  </si>
  <si>
    <t> W.Ogloza et al. </t>
  </si>
  <si>
    <t>IBVS 5843 </t>
  </si>
  <si>
    <t>2455311.4153 </t>
  </si>
  <si>
    <t> 24.04.2010 21:58 </t>
  </si>
  <si>
    <t>6056</t>
  </si>
  <si>
    <t> -0.0541 </t>
  </si>
  <si>
    <t>m</t>
  </si>
  <si>
    <t> S.Dogru et al. </t>
  </si>
  <si>
    <t>IBVS 5988 </t>
  </si>
  <si>
    <t>2455979.59 </t>
  </si>
  <si>
    <t> 22.02.2012 02:09 </t>
  </si>
  <si>
    <t>6425</t>
  </si>
  <si>
    <t> -0.06 </t>
  </si>
  <si>
    <t>o</t>
  </si>
  <si>
    <t> A.Paschke </t>
  </si>
  <si>
    <t>OEJV 0147 </t>
  </si>
  <si>
    <t>2415111.663 </t>
  </si>
  <si>
    <t> 02.04.1900 03:54 </t>
  </si>
  <si>
    <t> 1.220 </t>
  </si>
  <si>
    <t>P </t>
  </si>
  <si>
    <t> W.H.F.Waterfield </t>
  </si>
  <si>
    <t>2415886.602 </t>
  </si>
  <si>
    <t> 17.05.1902 02:26 </t>
  </si>
  <si>
    <t> 1.148 </t>
  </si>
  <si>
    <t>2416230.589 </t>
  </si>
  <si>
    <t> 26.04.1903 02:08 </t>
  </si>
  <si>
    <t> 1.087 </t>
  </si>
  <si>
    <t>2416250.565 </t>
  </si>
  <si>
    <t> 16.05.1903 01:33 </t>
  </si>
  <si>
    <t> 1.145 </t>
  </si>
  <si>
    <t>2417242.774 </t>
  </si>
  <si>
    <t> 01.02.1906 06:34 </t>
  </si>
  <si>
    <t> 1.049 </t>
  </si>
  <si>
    <t>2418468.621 </t>
  </si>
  <si>
    <t> 11.06.1909 02:54 </t>
  </si>
  <si>
    <t> 1.001 </t>
  </si>
  <si>
    <t>2419234.504 </t>
  </si>
  <si>
    <t> 17.07.1911 00:05 </t>
  </si>
  <si>
    <t> 0.926 </t>
  </si>
  <si>
    <t>2419460.831 </t>
  </si>
  <si>
    <t> 28.02.1912 07:56 </t>
  </si>
  <si>
    <t> 0.906 </t>
  </si>
  <si>
    <t>2419558.631 </t>
  </si>
  <si>
    <t> 05.06.1912 03:08 </t>
  </si>
  <si>
    <t> 0.924 </t>
  </si>
  <si>
    <t>2419942.513 </t>
  </si>
  <si>
    <t> 24.06.1913 00:18 </t>
  </si>
  <si>
    <t> 0.921 </t>
  </si>
  <si>
    <t>2419951.527 </t>
  </si>
  <si>
    <t> 03.07.1913 00:38 </t>
  </si>
  <si>
    <t> 0.882 </t>
  </si>
  <si>
    <t>2420954.695 </t>
  </si>
  <si>
    <t> 01.04.1916 04:40 </t>
  </si>
  <si>
    <t> 0.880 </t>
  </si>
  <si>
    <t>2421220.873 </t>
  </si>
  <si>
    <t> 23.12.1916 08:57 </t>
  </si>
  <si>
    <t> 0.874 </t>
  </si>
  <si>
    <t>2421336.723 </t>
  </si>
  <si>
    <t> 18.04.1917 05:21 </t>
  </si>
  <si>
    <t> 0.834 </t>
  </si>
  <si>
    <t>2421660.799 </t>
  </si>
  <si>
    <t> 08.03.1918 07:10 </t>
  </si>
  <si>
    <t> 0.781 </t>
  </si>
  <si>
    <t>2421749.535 </t>
  </si>
  <si>
    <t> 05.06.1918 00:50 </t>
  </si>
  <si>
    <t> 0.789 </t>
  </si>
  <si>
    <t>2422750.835 </t>
  </si>
  <si>
    <t> 02.03.1921 08:02 </t>
  </si>
  <si>
    <t> 0.731 </t>
  </si>
  <si>
    <t>2424941.7896 </t>
  </si>
  <si>
    <t> 02.03.1927 06:57 </t>
  </si>
  <si>
    <t> 0.6469 </t>
  </si>
  <si>
    <t> L.E.Cunningham </t>
  </si>
  <si>
    <t>2424941.7899 </t>
  </si>
  <si>
    <t> 0.6472 </t>
  </si>
  <si>
    <t>2425327.455 </t>
  </si>
  <si>
    <t> 21.03.1928 22:55 </t>
  </si>
  <si>
    <t> 0.617 </t>
  </si>
  <si>
    <t>F </t>
  </si>
  <si>
    <t> S.Gaposchkin </t>
  </si>
  <si>
    <t>2427221.438 </t>
  </si>
  <si>
    <t> 28.05.1933 22:30 </t>
  </si>
  <si>
    <t> 0.529 </t>
  </si>
  <si>
    <t> S.Piotrowski </t>
  </si>
  <si>
    <t>2427576.334 </t>
  </si>
  <si>
    <t> 18.05.1934 20:00 </t>
  </si>
  <si>
    <t> 0.513 </t>
  </si>
  <si>
    <t> Selivanov </t>
  </si>
  <si>
    <t>2427862.422 </t>
  </si>
  <si>
    <t> 28.02.1935 22:07 </t>
  </si>
  <si>
    <t> 0.498 </t>
  </si>
  <si>
    <t> W.Zessewitsch </t>
  </si>
  <si>
    <t>2427929.418 </t>
  </si>
  <si>
    <t> 06.05.1935 22:01 </t>
  </si>
  <si>
    <t> 0.496 </t>
  </si>
  <si>
    <t>2431230.301 </t>
  </si>
  <si>
    <t> 19.05.1944 19:13 </t>
  </si>
  <si>
    <t> 0.335 </t>
  </si>
  <si>
    <t>2431554.415 </t>
  </si>
  <si>
    <t> 08.04.1945 21:57 </t>
  </si>
  <si>
    <t> 0.320 </t>
  </si>
  <si>
    <t>2431907.499 </t>
  </si>
  <si>
    <t> 27.03.1946 23:58 </t>
  </si>
  <si>
    <t> 0.303 </t>
  </si>
  <si>
    <t>2433763.447 </t>
  </si>
  <si>
    <t> 26.04.1951 22:43 </t>
  </si>
  <si>
    <t> 0.206 </t>
  </si>
  <si>
    <t> A.Szczepanowska </t>
  </si>
  <si>
    <t>2434480.490 </t>
  </si>
  <si>
    <t> 12.04.1953 23:45 </t>
  </si>
  <si>
    <t> 0.182 </t>
  </si>
  <si>
    <t>2449861.007 </t>
  </si>
  <si>
    <t> 23.05.1995 12:10 </t>
  </si>
  <si>
    <t> -0.028 </t>
  </si>
  <si>
    <t> Y.Sekino </t>
  </si>
  <si>
    <t>2449870.066 </t>
  </si>
  <si>
    <t> 01.06.1995 13:35 </t>
  </si>
  <si>
    <t> S.Kiyota </t>
  </si>
  <si>
    <t>2451606.588 </t>
  </si>
  <si>
    <t> 03.03.2000 02:06 </t>
  </si>
  <si>
    <t> -0.035 </t>
  </si>
  <si>
    <t>2452042.992 </t>
  </si>
  <si>
    <t> 13.05.2001 11:48 </t>
  </si>
  <si>
    <t> Hirosawa </t>
  </si>
  <si>
    <t>2452323.656 </t>
  </si>
  <si>
    <t> 18.02.2002 03:44 </t>
  </si>
  <si>
    <t> -0.034 </t>
  </si>
  <si>
    <t>2453752.346 </t>
  </si>
  <si>
    <t> 16.01.2006 20:18 </t>
  </si>
  <si>
    <t>5195</t>
  </si>
  <si>
    <t> -0.046 </t>
  </si>
  <si>
    <t> K.Nagai et al. </t>
  </si>
  <si>
    <t>2454165.2024 </t>
  </si>
  <si>
    <t> 05.03.2007 16:51 </t>
  </si>
  <si>
    <t>5423</t>
  </si>
  <si>
    <t> -0.0461 </t>
  </si>
  <si>
    <t>Ic</t>
  </si>
  <si>
    <t> K.Nakajima </t>
  </si>
  <si>
    <t>JBAV, 63</t>
  </si>
  <si>
    <t>II</t>
  </si>
  <si>
    <t>JBAV 96</t>
  </si>
  <si>
    <t xml:space="preserve">Mag </t>
  </si>
  <si>
    <t>Next ToM-P</t>
  </si>
  <si>
    <t>Next ToM-S</t>
  </si>
  <si>
    <t>8.98-12.30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</si>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</sst>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2" fillId="2" borderId="0" xfId="0" applyFont="1" applyFill="1" applyAlignment="1"/>
    <xf numFmtId="0" fontId="0" fillId="0" borderId="0" xfId="0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3" borderId="11" xfId="0" applyFont="1" applyFill="1" applyBorder="1" applyAlignment="1">
      <alignment horizontal="left" vertical="top" wrapText="1" indent="1"/>
    </xf>
    <xf numFmtId="0" fontId="3" fillId="3" borderId="11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right" vertical="top" wrapText="1"/>
    </xf>
    <xf numFmtId="0" fontId="15" fillId="3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12" xfId="0" applyBorder="1">
      <alignment vertical="top"/>
    </xf>
    <xf numFmtId="0" fontId="18" fillId="0" borderId="15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0" fillId="4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22" fontId="19" fillId="0" borderId="16" xfId="0" applyNumberFormat="1" applyFont="1" applyBorder="1" applyAlignment="1">
      <alignment horizontal="right" vertical="center"/>
    </xf>
    <xf numFmtId="22" fontId="19" fillId="0" borderId="18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Vir - O-C Diagr.</a:t>
            </a:r>
          </a:p>
        </c:rich>
      </c:tx>
      <c:layout>
        <c:manualLayout>
          <c:xMode val="edge"/>
          <c:yMode val="edge"/>
          <c:x val="0.37128764844988432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6492313989521"/>
          <c:y val="0.23659305993690852"/>
          <c:w val="0.80693199343155908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Active!$H$21:$H$105</c:f>
              <c:numCache>
                <c:formatCode>General</c:formatCode>
                <c:ptCount val="85"/>
                <c:pt idx="0">
                  <c:v>1.0444669999997132</c:v>
                </c:pt>
                <c:pt idx="1">
                  <c:v>0.97621819999949366</c:v>
                </c:pt>
                <c:pt idx="2">
                  <c:v>0.91794419999860111</c:v>
                </c:pt>
                <c:pt idx="3">
                  <c:v>0.97553359999983513</c:v>
                </c:pt>
                <c:pt idx="4">
                  <c:v>0.88553279999905499</c:v>
                </c:pt>
                <c:pt idx="5">
                  <c:v>0.84489859999666805</c:v>
                </c:pt>
                <c:pt idx="6">
                  <c:v>0.77447279999978491</c:v>
                </c:pt>
                <c:pt idx="7">
                  <c:v>0.75589779999791062</c:v>
                </c:pt>
                <c:pt idx="8">
                  <c:v>0.77460939999946277</c:v>
                </c:pt>
                <c:pt idx="9">
                  <c:v>0.77451419999852078</c:v>
                </c:pt>
                <c:pt idx="10">
                  <c:v>0.73469119999572285</c:v>
                </c:pt>
                <c:pt idx="11">
                  <c:v>0.73910279999836348</c:v>
                </c:pt>
                <c:pt idx="12">
                  <c:v>0.73470660000020871</c:v>
                </c:pt>
                <c:pt idx="13">
                  <c:v>0.69577220000064699</c:v>
                </c:pt>
                <c:pt idx="14">
                  <c:v>0.64490879999721074</c:v>
                </c:pt>
                <c:pt idx="15">
                  <c:v>0.65344339999865042</c:v>
                </c:pt>
                <c:pt idx="16">
                  <c:v>0.60061959999802639</c:v>
                </c:pt>
                <c:pt idx="19">
                  <c:v>0.50259379999988596</c:v>
                </c:pt>
                <c:pt idx="24">
                  <c:v>0.25599779999902239</c:v>
                </c:pt>
                <c:pt idx="25">
                  <c:v>0.24313439999968978</c:v>
                </c:pt>
                <c:pt idx="26">
                  <c:v>0.22803740000017569</c:v>
                </c:pt>
                <c:pt idx="27">
                  <c:v>0.14232240000274032</c:v>
                </c:pt>
                <c:pt idx="28">
                  <c:v>0.12254079999547685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0A-4085-8988-6A8A88C10D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  <c:pt idx="85">
                  <c:v>8481</c:v>
                </c:pt>
                <c:pt idx="86">
                  <c:v>8883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  <c:pt idx="29">
                  <c:v>-9.3695999967167154E-3</c:v>
                </c:pt>
                <c:pt idx="30">
                  <c:v>-9.7802000018418767E-3</c:v>
                </c:pt>
                <c:pt idx="31">
                  <c:v>-5.7802000010269694E-3</c:v>
                </c:pt>
                <c:pt idx="32">
                  <c:v>-9.0138000014121644E-3</c:v>
                </c:pt>
                <c:pt idx="33">
                  <c:v>-1.3231199998699594E-2</c:v>
                </c:pt>
                <c:pt idx="34">
                  <c:v>-1.2069399999745656E-2</c:v>
                </c:pt>
                <c:pt idx="35">
                  <c:v>-3.298759999597678E-2</c:v>
                </c:pt>
                <c:pt idx="36">
                  <c:v>-2.3987599997781217E-2</c:v>
                </c:pt>
                <c:pt idx="37">
                  <c:v>-6.3819999995757826E-3</c:v>
                </c:pt>
                <c:pt idx="38">
                  <c:v>-4.6155999953043647E-3</c:v>
                </c:pt>
                <c:pt idx="39">
                  <c:v>-1.5849200004595332E-2</c:v>
                </c:pt>
                <c:pt idx="40">
                  <c:v>-1.0849200007214677E-2</c:v>
                </c:pt>
                <c:pt idx="41">
                  <c:v>-8.849200006807223E-3</c:v>
                </c:pt>
                <c:pt idx="42">
                  <c:v>-8.3567999972729012E-3</c:v>
                </c:pt>
                <c:pt idx="43">
                  <c:v>-4.5193999976618215E-3</c:v>
                </c:pt>
                <c:pt idx="44">
                  <c:v>-2.3154000009526499E-3</c:v>
                </c:pt>
                <c:pt idx="45">
                  <c:v>4.50999999884516E-4</c:v>
                </c:pt>
                <c:pt idx="46">
                  <c:v>-4.7826000009081326E-3</c:v>
                </c:pt>
                <c:pt idx="47">
                  <c:v>-1.1222000030102208E-3</c:v>
                </c:pt>
                <c:pt idx="48">
                  <c:v>0</c:v>
                </c:pt>
                <c:pt idx="49">
                  <c:v>1.7699999443721026E-4</c:v>
                </c:pt>
                <c:pt idx="50">
                  <c:v>-3.0422000054386444E-3</c:v>
                </c:pt>
                <c:pt idx="51">
                  <c:v>2.0396000036271289E-3</c:v>
                </c:pt>
                <c:pt idx="52">
                  <c:v>4.80779999634251E-3</c:v>
                </c:pt>
                <c:pt idx="53">
                  <c:v>6.5742000006139278E-3</c:v>
                </c:pt>
                <c:pt idx="54">
                  <c:v>2.1574200000031851E-2</c:v>
                </c:pt>
                <c:pt idx="55">
                  <c:v>1.0340599998016842E-2</c:v>
                </c:pt>
                <c:pt idx="56">
                  <c:v>1.5885999964666553E-3</c:v>
                </c:pt>
                <c:pt idx="57">
                  <c:v>3.9443999994546175E-3</c:v>
                </c:pt>
                <c:pt idx="58">
                  <c:v>6.4772000041557476E-3</c:v>
                </c:pt>
                <c:pt idx="59">
                  <c:v>2.5185999984387308E-3</c:v>
                </c:pt>
                <c:pt idx="60">
                  <c:v>5.0927999982377514E-3</c:v>
                </c:pt>
                <c:pt idx="62">
                  <c:v>1.6272599998046644E-2</c:v>
                </c:pt>
                <c:pt idx="63">
                  <c:v>1.1449599995103199E-2</c:v>
                </c:pt>
                <c:pt idx="64">
                  <c:v>1.2996800003747921E-2</c:v>
                </c:pt>
                <c:pt idx="65">
                  <c:v>8.5305999964475632E-3</c:v>
                </c:pt>
                <c:pt idx="66">
                  <c:v>9.4354000029852614E-3</c:v>
                </c:pt>
                <c:pt idx="67">
                  <c:v>5.0283999953535385E-3</c:v>
                </c:pt>
                <c:pt idx="68">
                  <c:v>1.1734600004274398E-2</c:v>
                </c:pt>
                <c:pt idx="69">
                  <c:v>1.0205400001723319E-2</c:v>
                </c:pt>
                <c:pt idx="70">
                  <c:v>4.2835999993258156E-3</c:v>
                </c:pt>
                <c:pt idx="71">
                  <c:v>1.0420200000226032E-2</c:v>
                </c:pt>
                <c:pt idx="72">
                  <c:v>9.1058000034536235E-3</c:v>
                </c:pt>
                <c:pt idx="73">
                  <c:v>8.9540000044507906E-3</c:v>
                </c:pt>
                <c:pt idx="74">
                  <c:v>1.8685399998503271E-2</c:v>
                </c:pt>
                <c:pt idx="75">
                  <c:v>1.4172399998642504E-2</c:v>
                </c:pt>
                <c:pt idx="79">
                  <c:v>1.0902999994868878E-2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0A-4085-8988-6A8A88C10D3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Active!$J$21:$J$105</c:f>
              <c:numCache>
                <c:formatCode>General</c:formatCode>
                <c:ptCount val="85"/>
                <c:pt idx="17">
                  <c:v>0.53005359999951907</c:v>
                </c:pt>
                <c:pt idx="18">
                  <c:v>0.53035359999921639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0A-4085-8988-6A8A88C10D3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  <c:pt idx="85">
                  <c:v>8481</c:v>
                </c:pt>
                <c:pt idx="86">
                  <c:v>8883</c:v>
                </c:pt>
              </c:numCache>
            </c:numRef>
          </c:xVal>
          <c:yVal>
            <c:numRef>
              <c:f>Active!$K$21:$K$1004</c:f>
              <c:numCache>
                <c:formatCode>General</c:formatCode>
                <c:ptCount val="984"/>
                <c:pt idx="76">
                  <c:v>1.1721399998350535E-2</c:v>
                </c:pt>
                <c:pt idx="77">
                  <c:v>1.1980200004472863E-2</c:v>
                </c:pt>
                <c:pt idx="78">
                  <c:v>7.4929999973392114E-3</c:v>
                </c:pt>
                <c:pt idx="80">
                  <c:v>1.2974200006283354E-2</c:v>
                </c:pt>
                <c:pt idx="81">
                  <c:v>1.1882400001923088E-2</c:v>
                </c:pt>
                <c:pt idx="82">
                  <c:v>1.4444999993429519E-2</c:v>
                </c:pt>
                <c:pt idx="83">
                  <c:v>2.1004000001994427E-2</c:v>
                </c:pt>
                <c:pt idx="84">
                  <c:v>3.0201599998690654E-2</c:v>
                </c:pt>
                <c:pt idx="85">
                  <c:v>4.1427399999520276E-2</c:v>
                </c:pt>
                <c:pt idx="86">
                  <c:v>4.7058199845196214E-2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0A-4085-8988-6A8A88C10D3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Active!$L$21:$L$105</c:f>
              <c:numCache>
                <c:formatCode>General</c:formatCode>
                <c:ptCount val="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0A-4085-8988-6A8A88C10D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Active!$M$21:$M$105</c:f>
              <c:numCache>
                <c:formatCode>General</c:formatCode>
                <c:ptCount val="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0A-4085-8988-6A8A88C10D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Active!$N$21:$N$105</c:f>
              <c:numCache>
                <c:formatCode>General</c:formatCode>
                <c:ptCount val="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0A-4085-8988-6A8A88C10D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Active!$O$21:$O$105</c:f>
              <c:numCache>
                <c:formatCode>General</c:formatCode>
                <c:ptCount val="85"/>
                <c:pt idx="62">
                  <c:v>3.2544324568974242E-3</c:v>
                </c:pt>
                <c:pt idx="63">
                  <c:v>3.2761967195284285E-3</c:v>
                </c:pt>
                <c:pt idx="64">
                  <c:v>4.0074759439301787E-3</c:v>
                </c:pt>
                <c:pt idx="65">
                  <c:v>6.6061289020721177E-3</c:v>
                </c:pt>
                <c:pt idx="66">
                  <c:v>7.5289336376267082E-3</c:v>
                </c:pt>
                <c:pt idx="67">
                  <c:v>7.7248120013057482E-3</c:v>
                </c:pt>
                <c:pt idx="68">
                  <c:v>7.7378705588843511E-3</c:v>
                </c:pt>
                <c:pt idx="69">
                  <c:v>7.7465762639367525E-3</c:v>
                </c:pt>
                <c:pt idx="70">
                  <c:v>8.5431482762315172E-3</c:v>
                </c:pt>
                <c:pt idx="71">
                  <c:v>9.3223088784214793E-3</c:v>
                </c:pt>
                <c:pt idx="72">
                  <c:v>1.0906747197958606E-2</c:v>
                </c:pt>
                <c:pt idx="73">
                  <c:v>1.1920961836563417E-2</c:v>
                </c:pt>
                <c:pt idx="74">
                  <c:v>1.2969999295377833E-2</c:v>
                </c:pt>
                <c:pt idx="75">
                  <c:v>1.3644691436938972E-2</c:v>
                </c:pt>
                <c:pt idx="76">
                  <c:v>1.4449969154286139E-2</c:v>
                </c:pt>
                <c:pt idx="77">
                  <c:v>1.541630241510274E-2</c:v>
                </c:pt>
                <c:pt idx="78">
                  <c:v>1.6426164201181349E-2</c:v>
                </c:pt>
                <c:pt idx="79">
                  <c:v>1.7079092080111484E-2</c:v>
                </c:pt>
                <c:pt idx="80">
                  <c:v>1.8071542456085287E-2</c:v>
                </c:pt>
                <c:pt idx="81">
                  <c:v>2.0826898105170459E-2</c:v>
                </c:pt>
                <c:pt idx="82">
                  <c:v>2.243310068733859E-2</c:v>
                </c:pt>
                <c:pt idx="83">
                  <c:v>2.6067732546716346E-2</c:v>
                </c:pt>
                <c:pt idx="84">
                  <c:v>2.8870969573589724E-2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0A-4085-8988-6A8A88C10D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Active!$U$21:$U$105</c:f>
              <c:numCache>
                <c:formatCode>General</c:formatCode>
                <c:ptCount val="85"/>
                <c:pt idx="20">
                  <c:v>1.3312044999984209</c:v>
                </c:pt>
                <c:pt idx="21">
                  <c:v>1.3173428999980388</c:v>
                </c:pt>
                <c:pt idx="22">
                  <c:v>1.304536099996767</c:v>
                </c:pt>
                <c:pt idx="23">
                  <c:v>1.3022459000021627</c:v>
                </c:pt>
                <c:pt idx="61">
                  <c:v>-0.29147375000320608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0A-4085-8988-6A8A88C1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0248"/>
        <c:axId val="1"/>
      </c:scatterChart>
      <c:valAx>
        <c:axId val="8468902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0284642637498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3856350821315877E-2"/>
              <c:y val="0.422713064092794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02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31370459880632"/>
          <c:y val="0.90851735015772872"/>
          <c:w val="0.79373058565699095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Vir - O-C Diagr.</a:t>
            </a:r>
          </a:p>
        </c:rich>
      </c:tx>
      <c:layout>
        <c:manualLayout>
          <c:xMode val="edge"/>
          <c:yMode val="edge"/>
          <c:x val="0.3723232454262821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6432440625771"/>
          <c:y val="0.16057579759051857"/>
          <c:w val="0.80889686156370788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  <c:pt idx="85">
                  <c:v>8481</c:v>
                </c:pt>
                <c:pt idx="86">
                  <c:v>8883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  <c:pt idx="0">
                  <c:v>1.0444669999997132</c:v>
                </c:pt>
                <c:pt idx="1">
                  <c:v>0.97621819999949366</c:v>
                </c:pt>
                <c:pt idx="2">
                  <c:v>0.91794419999860111</c:v>
                </c:pt>
                <c:pt idx="3">
                  <c:v>0.97553359999983513</c:v>
                </c:pt>
                <c:pt idx="4">
                  <c:v>0.88553279999905499</c:v>
                </c:pt>
                <c:pt idx="5">
                  <c:v>0.84489859999666805</c:v>
                </c:pt>
                <c:pt idx="6">
                  <c:v>0.77447279999978491</c:v>
                </c:pt>
                <c:pt idx="7">
                  <c:v>0.75589779999791062</c:v>
                </c:pt>
                <c:pt idx="8">
                  <c:v>0.77460939999946277</c:v>
                </c:pt>
                <c:pt idx="9">
                  <c:v>0.77451419999852078</c:v>
                </c:pt>
                <c:pt idx="10">
                  <c:v>0.73469119999572285</c:v>
                </c:pt>
                <c:pt idx="11">
                  <c:v>0.73910279999836348</c:v>
                </c:pt>
                <c:pt idx="12">
                  <c:v>0.73470660000020871</c:v>
                </c:pt>
                <c:pt idx="13">
                  <c:v>0.69577220000064699</c:v>
                </c:pt>
                <c:pt idx="14">
                  <c:v>0.64490879999721074</c:v>
                </c:pt>
                <c:pt idx="15">
                  <c:v>0.65344339999865042</c:v>
                </c:pt>
                <c:pt idx="16">
                  <c:v>0.60061959999802639</c:v>
                </c:pt>
                <c:pt idx="19">
                  <c:v>0.50259379999988596</c:v>
                </c:pt>
                <c:pt idx="24">
                  <c:v>0.25599779999902239</c:v>
                </c:pt>
                <c:pt idx="25">
                  <c:v>0.24313439999968978</c:v>
                </c:pt>
                <c:pt idx="26">
                  <c:v>0.22803740000017569</c:v>
                </c:pt>
                <c:pt idx="27">
                  <c:v>0.14232240000274032</c:v>
                </c:pt>
                <c:pt idx="28">
                  <c:v>0.12254079999547685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4-4F4A-AA92-275647BED6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  <c:pt idx="85">
                  <c:v>8481</c:v>
                </c:pt>
                <c:pt idx="86">
                  <c:v>8883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  <c:pt idx="29">
                  <c:v>-9.3695999967167154E-3</c:v>
                </c:pt>
                <c:pt idx="30">
                  <c:v>-9.7802000018418767E-3</c:v>
                </c:pt>
                <c:pt idx="31">
                  <c:v>-5.7802000010269694E-3</c:v>
                </c:pt>
                <c:pt idx="32">
                  <c:v>-9.0138000014121644E-3</c:v>
                </c:pt>
                <c:pt idx="33">
                  <c:v>-1.3231199998699594E-2</c:v>
                </c:pt>
                <c:pt idx="34">
                  <c:v>-1.2069399999745656E-2</c:v>
                </c:pt>
                <c:pt idx="35">
                  <c:v>-3.298759999597678E-2</c:v>
                </c:pt>
                <c:pt idx="36">
                  <c:v>-2.3987599997781217E-2</c:v>
                </c:pt>
                <c:pt idx="37">
                  <c:v>-6.3819999995757826E-3</c:v>
                </c:pt>
                <c:pt idx="38">
                  <c:v>-4.6155999953043647E-3</c:v>
                </c:pt>
                <c:pt idx="39">
                  <c:v>-1.5849200004595332E-2</c:v>
                </c:pt>
                <c:pt idx="40">
                  <c:v>-1.0849200007214677E-2</c:v>
                </c:pt>
                <c:pt idx="41">
                  <c:v>-8.849200006807223E-3</c:v>
                </c:pt>
                <c:pt idx="42">
                  <c:v>-8.3567999972729012E-3</c:v>
                </c:pt>
                <c:pt idx="43">
                  <c:v>-4.5193999976618215E-3</c:v>
                </c:pt>
                <c:pt idx="44">
                  <c:v>-2.3154000009526499E-3</c:v>
                </c:pt>
                <c:pt idx="45">
                  <c:v>4.50999999884516E-4</c:v>
                </c:pt>
                <c:pt idx="46">
                  <c:v>-4.7826000009081326E-3</c:v>
                </c:pt>
                <c:pt idx="47">
                  <c:v>-1.1222000030102208E-3</c:v>
                </c:pt>
                <c:pt idx="48">
                  <c:v>0</c:v>
                </c:pt>
                <c:pt idx="49">
                  <c:v>1.7699999443721026E-4</c:v>
                </c:pt>
                <c:pt idx="50">
                  <c:v>-3.0422000054386444E-3</c:v>
                </c:pt>
                <c:pt idx="51">
                  <c:v>2.0396000036271289E-3</c:v>
                </c:pt>
                <c:pt idx="52">
                  <c:v>4.80779999634251E-3</c:v>
                </c:pt>
                <c:pt idx="53">
                  <c:v>6.5742000006139278E-3</c:v>
                </c:pt>
                <c:pt idx="54">
                  <c:v>2.1574200000031851E-2</c:v>
                </c:pt>
                <c:pt idx="55">
                  <c:v>1.0340599998016842E-2</c:v>
                </c:pt>
                <c:pt idx="56">
                  <c:v>1.5885999964666553E-3</c:v>
                </c:pt>
                <c:pt idx="57">
                  <c:v>3.9443999994546175E-3</c:v>
                </c:pt>
                <c:pt idx="58">
                  <c:v>6.4772000041557476E-3</c:v>
                </c:pt>
                <c:pt idx="59">
                  <c:v>2.5185999984387308E-3</c:v>
                </c:pt>
                <c:pt idx="60">
                  <c:v>5.0927999982377514E-3</c:v>
                </c:pt>
                <c:pt idx="62">
                  <c:v>1.6272599998046644E-2</c:v>
                </c:pt>
                <c:pt idx="63">
                  <c:v>1.1449599995103199E-2</c:v>
                </c:pt>
                <c:pt idx="64">
                  <c:v>1.2996800003747921E-2</c:v>
                </c:pt>
                <c:pt idx="65">
                  <c:v>8.5305999964475632E-3</c:v>
                </c:pt>
                <c:pt idx="66">
                  <c:v>9.4354000029852614E-3</c:v>
                </c:pt>
                <c:pt idx="67">
                  <c:v>5.0283999953535385E-3</c:v>
                </c:pt>
                <c:pt idx="68">
                  <c:v>1.1734600004274398E-2</c:v>
                </c:pt>
                <c:pt idx="69">
                  <c:v>1.0205400001723319E-2</c:v>
                </c:pt>
                <c:pt idx="70">
                  <c:v>4.2835999993258156E-3</c:v>
                </c:pt>
                <c:pt idx="71">
                  <c:v>1.0420200000226032E-2</c:v>
                </c:pt>
                <c:pt idx="72">
                  <c:v>9.1058000034536235E-3</c:v>
                </c:pt>
                <c:pt idx="73">
                  <c:v>8.9540000044507906E-3</c:v>
                </c:pt>
                <c:pt idx="74">
                  <c:v>1.8685399998503271E-2</c:v>
                </c:pt>
                <c:pt idx="75">
                  <c:v>1.4172399998642504E-2</c:v>
                </c:pt>
                <c:pt idx="79">
                  <c:v>1.0902999994868878E-2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84-4F4A-AA92-275647BED62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Active!$J$21:$J$105</c:f>
              <c:numCache>
                <c:formatCode>General</c:formatCode>
                <c:ptCount val="85"/>
                <c:pt idx="17">
                  <c:v>0.53005359999951907</c:v>
                </c:pt>
                <c:pt idx="18">
                  <c:v>0.53035359999921639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84-4F4A-AA92-275647BED62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Active!$K$21:$K$104</c:f>
              <c:numCache>
                <c:formatCode>General</c:formatCode>
                <c:ptCount val="84"/>
                <c:pt idx="76">
                  <c:v>1.1721399998350535E-2</c:v>
                </c:pt>
                <c:pt idx="77">
                  <c:v>1.1980200004472863E-2</c:v>
                </c:pt>
                <c:pt idx="78">
                  <c:v>7.4929999973392114E-3</c:v>
                </c:pt>
                <c:pt idx="80">
                  <c:v>1.2974200006283354E-2</c:v>
                </c:pt>
                <c:pt idx="81">
                  <c:v>1.1882400001923088E-2</c:v>
                </c:pt>
                <c:pt idx="82">
                  <c:v>1.4444999993429519E-2</c:v>
                </c:pt>
                <c:pt idx="83">
                  <c:v>2.1004000001994427E-2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84-4F4A-AA92-275647BED62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Active!$L$21:$L$105</c:f>
              <c:numCache>
                <c:formatCode>General</c:formatCode>
                <c:ptCount val="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84-4F4A-AA92-275647BED6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Active!$M$21:$M$105</c:f>
              <c:numCache>
                <c:formatCode>General</c:formatCode>
                <c:ptCount val="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84-4F4A-AA92-275647BED6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Active!$N$21:$N$105</c:f>
              <c:numCache>
                <c:formatCode>General</c:formatCode>
                <c:ptCount val="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84-4F4A-AA92-275647BED6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Active!$O$21:$O$105</c:f>
              <c:numCache>
                <c:formatCode>General</c:formatCode>
                <c:ptCount val="85"/>
                <c:pt idx="62">
                  <c:v>3.2544324568974242E-3</c:v>
                </c:pt>
                <c:pt idx="63">
                  <c:v>3.2761967195284285E-3</c:v>
                </c:pt>
                <c:pt idx="64">
                  <c:v>4.0074759439301787E-3</c:v>
                </c:pt>
                <c:pt idx="65">
                  <c:v>6.6061289020721177E-3</c:v>
                </c:pt>
                <c:pt idx="66">
                  <c:v>7.5289336376267082E-3</c:v>
                </c:pt>
                <c:pt idx="67">
                  <c:v>7.7248120013057482E-3</c:v>
                </c:pt>
                <c:pt idx="68">
                  <c:v>7.7378705588843511E-3</c:v>
                </c:pt>
                <c:pt idx="69">
                  <c:v>7.7465762639367525E-3</c:v>
                </c:pt>
                <c:pt idx="70">
                  <c:v>8.5431482762315172E-3</c:v>
                </c:pt>
                <c:pt idx="71">
                  <c:v>9.3223088784214793E-3</c:v>
                </c:pt>
                <c:pt idx="72">
                  <c:v>1.0906747197958606E-2</c:v>
                </c:pt>
                <c:pt idx="73">
                  <c:v>1.1920961836563417E-2</c:v>
                </c:pt>
                <c:pt idx="74">
                  <c:v>1.2969999295377833E-2</c:v>
                </c:pt>
                <c:pt idx="75">
                  <c:v>1.3644691436938972E-2</c:v>
                </c:pt>
                <c:pt idx="76">
                  <c:v>1.4449969154286139E-2</c:v>
                </c:pt>
                <c:pt idx="77">
                  <c:v>1.541630241510274E-2</c:v>
                </c:pt>
                <c:pt idx="78">
                  <c:v>1.6426164201181349E-2</c:v>
                </c:pt>
                <c:pt idx="79">
                  <c:v>1.7079092080111484E-2</c:v>
                </c:pt>
                <c:pt idx="80">
                  <c:v>1.8071542456085287E-2</c:v>
                </c:pt>
                <c:pt idx="81">
                  <c:v>2.0826898105170459E-2</c:v>
                </c:pt>
                <c:pt idx="82">
                  <c:v>2.243310068733859E-2</c:v>
                </c:pt>
                <c:pt idx="83">
                  <c:v>2.6067732546716346E-2</c:v>
                </c:pt>
                <c:pt idx="84">
                  <c:v>2.8870969573589724E-2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84-4F4A-AA92-275647BED62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Active!$F$21:$F$105</c:f>
              <c:numCache>
                <c:formatCode>General</c:formatCode>
                <c:ptCount val="85"/>
                <c:pt idx="0">
                  <c:v>-16145</c:v>
                </c:pt>
                <c:pt idx="1">
                  <c:v>-15717</c:v>
                </c:pt>
                <c:pt idx="2">
                  <c:v>-15527</c:v>
                </c:pt>
                <c:pt idx="3">
                  <c:v>-15516</c:v>
                </c:pt>
                <c:pt idx="4">
                  <c:v>-14968</c:v>
                </c:pt>
                <c:pt idx="5">
                  <c:v>-14291</c:v>
                </c:pt>
                <c:pt idx="6">
                  <c:v>-13868</c:v>
                </c:pt>
                <c:pt idx="7">
                  <c:v>-13743</c:v>
                </c:pt>
                <c:pt idx="8">
                  <c:v>-13689</c:v>
                </c:pt>
                <c:pt idx="9">
                  <c:v>-13477</c:v>
                </c:pt>
                <c:pt idx="10">
                  <c:v>-13472</c:v>
                </c:pt>
                <c:pt idx="11">
                  <c:v>-12918</c:v>
                </c:pt>
                <c:pt idx="12">
                  <c:v>-12771</c:v>
                </c:pt>
                <c:pt idx="13">
                  <c:v>-12707</c:v>
                </c:pt>
                <c:pt idx="14">
                  <c:v>-12528</c:v>
                </c:pt>
                <c:pt idx="15">
                  <c:v>-12479</c:v>
                </c:pt>
                <c:pt idx="16">
                  <c:v>-11926</c:v>
                </c:pt>
                <c:pt idx="17">
                  <c:v>-10716</c:v>
                </c:pt>
                <c:pt idx="18">
                  <c:v>-10716</c:v>
                </c:pt>
                <c:pt idx="19">
                  <c:v>-10503</c:v>
                </c:pt>
                <c:pt idx="20">
                  <c:v>-9457.5</c:v>
                </c:pt>
                <c:pt idx="21">
                  <c:v>-9261.5</c:v>
                </c:pt>
                <c:pt idx="22">
                  <c:v>-9103.5</c:v>
                </c:pt>
                <c:pt idx="23">
                  <c:v>-9066.5</c:v>
                </c:pt>
                <c:pt idx="24">
                  <c:v>-7243</c:v>
                </c:pt>
                <c:pt idx="25">
                  <c:v>-7064</c:v>
                </c:pt>
                <c:pt idx="26">
                  <c:v>-6869</c:v>
                </c:pt>
                <c:pt idx="27">
                  <c:v>-5844</c:v>
                </c:pt>
                <c:pt idx="28">
                  <c:v>-5448</c:v>
                </c:pt>
                <c:pt idx="29">
                  <c:v>-1824</c:v>
                </c:pt>
                <c:pt idx="30">
                  <c:v>-1813</c:v>
                </c:pt>
                <c:pt idx="31">
                  <c:v>-1813</c:v>
                </c:pt>
                <c:pt idx="32">
                  <c:v>-1797</c:v>
                </c:pt>
                <c:pt idx="33">
                  <c:v>-1628</c:v>
                </c:pt>
                <c:pt idx="34">
                  <c:v>-1211</c:v>
                </c:pt>
                <c:pt idx="35">
                  <c:v>-994</c:v>
                </c:pt>
                <c:pt idx="36">
                  <c:v>-994</c:v>
                </c:pt>
                <c:pt idx="37">
                  <c:v>-830</c:v>
                </c:pt>
                <c:pt idx="38">
                  <c:v>-814</c:v>
                </c:pt>
                <c:pt idx="39">
                  <c:v>-798</c:v>
                </c:pt>
                <c:pt idx="40">
                  <c:v>-798</c:v>
                </c:pt>
                <c:pt idx="41">
                  <c:v>-798</c:v>
                </c:pt>
                <c:pt idx="42">
                  <c:v>-592</c:v>
                </c:pt>
                <c:pt idx="43">
                  <c:v>-461</c:v>
                </c:pt>
                <c:pt idx="44">
                  <c:v>-201</c:v>
                </c:pt>
                <c:pt idx="45">
                  <c:v>-185</c:v>
                </c:pt>
                <c:pt idx="46">
                  <c:v>-169</c:v>
                </c:pt>
                <c:pt idx="47">
                  <c:v>-43</c:v>
                </c:pt>
                <c:pt idx="48">
                  <c:v>0</c:v>
                </c:pt>
                <c:pt idx="49">
                  <c:v>5</c:v>
                </c:pt>
                <c:pt idx="50">
                  <c:v>157</c:v>
                </c:pt>
                <c:pt idx="51">
                  <c:v>374</c:v>
                </c:pt>
                <c:pt idx="52">
                  <c:v>407</c:v>
                </c:pt>
                <c:pt idx="53">
                  <c:v>423</c:v>
                </c:pt>
                <c:pt idx="54">
                  <c:v>423</c:v>
                </c:pt>
                <c:pt idx="55">
                  <c:v>439</c:v>
                </c:pt>
                <c:pt idx="56">
                  <c:v>559</c:v>
                </c:pt>
                <c:pt idx="57">
                  <c:v>586</c:v>
                </c:pt>
                <c:pt idx="58">
                  <c:v>618</c:v>
                </c:pt>
                <c:pt idx="59">
                  <c:v>1009</c:v>
                </c:pt>
                <c:pt idx="60">
                  <c:v>1432</c:v>
                </c:pt>
                <c:pt idx="61">
                  <c:v>1572.5</c:v>
                </c:pt>
                <c:pt idx="62">
                  <c:v>2019</c:v>
                </c:pt>
                <c:pt idx="63">
                  <c:v>2024</c:v>
                </c:pt>
                <c:pt idx="64">
                  <c:v>2192</c:v>
                </c:pt>
                <c:pt idx="65">
                  <c:v>2789</c:v>
                </c:pt>
                <c:pt idx="66">
                  <c:v>3001</c:v>
                </c:pt>
                <c:pt idx="67">
                  <c:v>3046</c:v>
                </c:pt>
                <c:pt idx="68">
                  <c:v>3049</c:v>
                </c:pt>
                <c:pt idx="69">
                  <c:v>3051</c:v>
                </c:pt>
                <c:pt idx="70">
                  <c:v>3234</c:v>
                </c:pt>
                <c:pt idx="71">
                  <c:v>3413</c:v>
                </c:pt>
                <c:pt idx="72">
                  <c:v>3777</c:v>
                </c:pt>
                <c:pt idx="73">
                  <c:v>4010</c:v>
                </c:pt>
                <c:pt idx="74">
                  <c:v>4251</c:v>
                </c:pt>
                <c:pt idx="75">
                  <c:v>4406</c:v>
                </c:pt>
                <c:pt idx="76">
                  <c:v>4591</c:v>
                </c:pt>
                <c:pt idx="77">
                  <c:v>4813</c:v>
                </c:pt>
                <c:pt idx="78">
                  <c:v>5045</c:v>
                </c:pt>
                <c:pt idx="79">
                  <c:v>5195</c:v>
                </c:pt>
                <c:pt idx="80">
                  <c:v>5423</c:v>
                </c:pt>
                <c:pt idx="81">
                  <c:v>6056</c:v>
                </c:pt>
                <c:pt idx="82">
                  <c:v>6425</c:v>
                </c:pt>
                <c:pt idx="83">
                  <c:v>7260</c:v>
                </c:pt>
                <c:pt idx="84">
                  <c:v>7904</c:v>
                </c:pt>
              </c:numCache>
            </c:numRef>
          </c:xVal>
          <c:yVal>
            <c:numRef>
              <c:f>Active!$U$21:$U$105</c:f>
              <c:numCache>
                <c:formatCode>General</c:formatCode>
                <c:ptCount val="85"/>
                <c:pt idx="20">
                  <c:v>1.3312044999984209</c:v>
                </c:pt>
                <c:pt idx="21">
                  <c:v>1.3173428999980388</c:v>
                </c:pt>
                <c:pt idx="22">
                  <c:v>1.304536099996767</c:v>
                </c:pt>
                <c:pt idx="23">
                  <c:v>1.3022459000021627</c:v>
                </c:pt>
                <c:pt idx="61">
                  <c:v>-0.29147375000320608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84-4F4A-AA92-275647BED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7464"/>
        <c:axId val="1"/>
      </c:scatterChart>
      <c:valAx>
        <c:axId val="8468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0613014394617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8286655683691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7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91121085152658"/>
          <c:y val="0.90909222554077285"/>
          <c:w val="0.7924224381342777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114301</xdr:rowOff>
    </xdr:from>
    <xdr:to>
      <xdr:col>17</xdr:col>
      <xdr:colOff>590550</xdr:colOff>
      <xdr:row>18</xdr:row>
      <xdr:rowOff>57151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28DDCDA-32B3-D073-6FF2-8E593D27B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66676</xdr:colOff>
      <xdr:row>0</xdr:row>
      <xdr:rowOff>9525</xdr:rowOff>
    </xdr:from>
    <xdr:to>
      <xdr:col>27</xdr:col>
      <xdr:colOff>161926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C20916B-1A50-C288-EE2A-D76E02BA5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var.astro.cz/oejv/issues/oejv0147.pdf" TargetMode="External"/><Relationship Id="rId7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5988" TargetMode="External"/><Relationship Id="rId1" Type="http://schemas.openxmlformats.org/officeDocument/2006/relationships/hyperlink" Target="http://www.konkoly.hu/cgi-bin/IBVS?5843" TargetMode="External"/><Relationship Id="rId6" Type="http://schemas.openxmlformats.org/officeDocument/2006/relationships/hyperlink" Target="http://vsolj.cetus-net.org/no39.pdf" TargetMode="External"/><Relationship Id="rId5" Type="http://schemas.openxmlformats.org/officeDocument/2006/relationships/hyperlink" Target="http://vsolj.cetus-net.org/no47.pdf" TargetMode="External"/><Relationship Id="rId4" Type="http://schemas.openxmlformats.org/officeDocument/2006/relationships/hyperlink" Target="http://vsolj.cetus-net.org/no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7"/>
  <sheetViews>
    <sheetView tabSelected="1" workbookViewId="0">
      <pane xSplit="14" ySplit="22" topLeftCell="O91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3" spans="1:6" x14ac:dyDescent="0.2">
      <c r="C3" s="4" t="s">
        <v>3</v>
      </c>
    </row>
    <row r="4" spans="1:6" x14ac:dyDescent="0.2">
      <c r="A4" s="5" t="s">
        <v>4</v>
      </c>
      <c r="C4" s="6">
        <v>44345.413</v>
      </c>
      <c r="D4" s="7">
        <v>1.8107755000000001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  <c r="C6" s="1">
        <v>55</v>
      </c>
      <c r="E6" s="73" t="s">
        <v>424</v>
      </c>
    </row>
    <row r="7" spans="1:6" x14ac:dyDescent="0.2">
      <c r="A7" s="1" t="s">
        <v>8</v>
      </c>
      <c r="C7" s="1">
        <f>+C4</f>
        <v>44345.413</v>
      </c>
      <c r="D7" s="1" t="s">
        <v>423</v>
      </c>
      <c r="E7" s="74">
        <v>44345.413</v>
      </c>
    </row>
    <row r="8" spans="1:6" x14ac:dyDescent="0.2">
      <c r="A8" s="1" t="s">
        <v>9</v>
      </c>
      <c r="C8" s="1">
        <v>1.8107645999999999</v>
      </c>
      <c r="D8" s="1" t="s">
        <v>423</v>
      </c>
      <c r="E8" s="75">
        <v>1.8107755000000001</v>
      </c>
    </row>
    <row r="9" spans="1:6" x14ac:dyDescent="0.2">
      <c r="A9" s="10" t="s">
        <v>10</v>
      </c>
      <c r="B9" s="11">
        <v>84</v>
      </c>
      <c r="C9" s="12" t="str">
        <f>"F"&amp;B9</f>
        <v>F84</v>
      </c>
      <c r="D9" s="13" t="str">
        <f>"G"&amp;B9</f>
        <v>G84</v>
      </c>
    </row>
    <row r="10" spans="1:6" x14ac:dyDescent="0.2">
      <c r="A10"/>
      <c r="B10"/>
      <c r="C10" s="14" t="s">
        <v>11</v>
      </c>
      <c r="D10" s="14" t="s">
        <v>12</v>
      </c>
      <c r="E10"/>
    </row>
    <row r="11" spans="1:6" x14ac:dyDescent="0.2">
      <c r="A11" t="s">
        <v>13</v>
      </c>
      <c r="B11"/>
      <c r="C11" s="15">
        <f ca="1">INTERCEPT(INDIRECT($D$9):G991,INDIRECT($C$9):F991)</f>
        <v>-5.533976793502194E-3</v>
      </c>
      <c r="D11" s="16"/>
      <c r="E11"/>
    </row>
    <row r="12" spans="1:6" x14ac:dyDescent="0.2">
      <c r="A12" t="s">
        <v>14</v>
      </c>
      <c r="B12"/>
      <c r="C12" s="15">
        <f ca="1">SLOPE(INDIRECT($D$9):G991,INDIRECT($C$9):F991)</f>
        <v>4.3528525262009004E-6</v>
      </c>
      <c r="D12" s="16"/>
      <c r="E12" s="67" t="s">
        <v>419</v>
      </c>
      <c r="F12" s="68" t="s">
        <v>422</v>
      </c>
    </row>
    <row r="13" spans="1:6" x14ac:dyDescent="0.2">
      <c r="A13" t="s">
        <v>15</v>
      </c>
      <c r="B13"/>
      <c r="C13" s="16" t="s">
        <v>16</v>
      </c>
      <c r="E13" s="65" t="s">
        <v>18</v>
      </c>
      <c r="F13" s="69">
        <v>1</v>
      </c>
    </row>
    <row r="14" spans="1:6" x14ac:dyDescent="0.2">
      <c r="A14"/>
      <c r="B14"/>
      <c r="C14"/>
      <c r="E14" s="65" t="s">
        <v>20</v>
      </c>
      <c r="F14" s="70">
        <f ca="1">NOW()+15018.5+$C$5/24</f>
        <v>60685.851873032407</v>
      </c>
    </row>
    <row r="15" spans="1:6" x14ac:dyDescent="0.2">
      <c r="A15" s="17" t="s">
        <v>17</v>
      </c>
      <c r="B15"/>
      <c r="C15" s="18">
        <f ca="1">(C7+C11)+(C8+C12)*INT(MAX(F21:F3532))</f>
        <v>60430.4680742122</v>
      </c>
      <c r="E15" s="65" t="s">
        <v>22</v>
      </c>
      <c r="F15" s="70">
        <f ca="1">ROUND(2*($F$14-$C$7)/$C$8,0)/2+$F$13</f>
        <v>9025</v>
      </c>
    </row>
    <row r="16" spans="1:6" x14ac:dyDescent="0.2">
      <c r="A16" s="17" t="s">
        <v>19</v>
      </c>
      <c r="B16"/>
      <c r="C16" s="18">
        <f ca="1">+C8+C12</f>
        <v>1.8107689528525261</v>
      </c>
      <c r="E16" s="65" t="s">
        <v>24</v>
      </c>
      <c r="F16" s="70">
        <f ca="1">ROUND(2*($F$14-$C$15)/$C$16,0)/2+$F$13</f>
        <v>142</v>
      </c>
    </row>
    <row r="17" spans="1:21" x14ac:dyDescent="0.2">
      <c r="A17" s="10" t="s">
        <v>21</v>
      </c>
      <c r="B17"/>
      <c r="C17">
        <f>COUNT(C21:C2190)</f>
        <v>87</v>
      </c>
      <c r="E17" s="65" t="s">
        <v>420</v>
      </c>
      <c r="F17" s="71">
        <f ca="1">+$C$15+$C$16*$F$16-15018.5-$C$5/24</f>
        <v>45669.493098850595</v>
      </c>
    </row>
    <row r="18" spans="1:21" x14ac:dyDescent="0.2">
      <c r="A18" s="17" t="s">
        <v>23</v>
      </c>
      <c r="B18"/>
      <c r="C18" s="19">
        <f ca="1">+C15</f>
        <v>60430.4680742122</v>
      </c>
      <c r="D18" s="64">
        <f ca="1">+C16</f>
        <v>1.8107689528525261</v>
      </c>
      <c r="E18" s="66" t="s">
        <v>421</v>
      </c>
      <c r="F18" s="72">
        <f ca="1">+($C$15+$C$16*$F$16)-($C$16/2)-15018.5-$C$5/24</f>
        <v>45668.587714374167</v>
      </c>
    </row>
    <row r="19" spans="1:21" x14ac:dyDescent="0.2">
      <c r="E19" s="10"/>
      <c r="F19" s="20"/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15111.663</v>
      </c>
      <c r="D21" s="26"/>
      <c r="E21" s="27">
        <f t="shared" ref="E21:E52" si="0">+(C21-C$7)/C$8</f>
        <v>-16144.4231900712</v>
      </c>
      <c r="F21" s="28">
        <f>ROUND(2*E21,0)/2-0.5</f>
        <v>-16145</v>
      </c>
      <c r="G21" s="1">
        <f t="shared" ref="G21:G52" si="1">+C21-(C$7+F21*C$8)</f>
        <v>1.0444669999997132</v>
      </c>
      <c r="H21" s="1">
        <f t="shared" ref="H21:H37" si="2">+G21</f>
        <v>1.0444669999997132</v>
      </c>
      <c r="Q21" s="56">
        <f t="shared" ref="Q21:Q52" si="3">+C21-15018.5</f>
        <v>93.163000000000466</v>
      </c>
    </row>
    <row r="22" spans="1:21" x14ac:dyDescent="0.2">
      <c r="A22" s="23" t="s">
        <v>43</v>
      </c>
      <c r="B22" s="24" t="s">
        <v>44</v>
      </c>
      <c r="C22" s="25">
        <v>15886.602000000001</v>
      </c>
      <c r="D22" s="26"/>
      <c r="E22" s="27">
        <f t="shared" si="0"/>
        <v>-15716.460880668863</v>
      </c>
      <c r="F22" s="28">
        <f t="shared" ref="F22:F44" si="4">ROUND(2*E22,0)/2-0.5</f>
        <v>-15717</v>
      </c>
      <c r="G22" s="1">
        <f t="shared" si="1"/>
        <v>0.97621819999949366</v>
      </c>
      <c r="H22" s="1">
        <f t="shared" si="2"/>
        <v>0.97621819999949366</v>
      </c>
      <c r="Q22" s="56">
        <f t="shared" si="3"/>
        <v>868.10200000000077</v>
      </c>
    </row>
    <row r="23" spans="1:21" x14ac:dyDescent="0.2">
      <c r="A23" s="23" t="s">
        <v>43</v>
      </c>
      <c r="B23" s="24" t="s">
        <v>44</v>
      </c>
      <c r="C23" s="25">
        <v>16230.589</v>
      </c>
      <c r="D23" s="26"/>
      <c r="E23" s="27">
        <f t="shared" si="0"/>
        <v>-15526.493062654306</v>
      </c>
      <c r="F23" s="28">
        <f t="shared" si="4"/>
        <v>-15527</v>
      </c>
      <c r="G23" s="1">
        <f t="shared" si="1"/>
        <v>0.91794419999860111</v>
      </c>
      <c r="H23" s="1">
        <f t="shared" si="2"/>
        <v>0.91794419999860111</v>
      </c>
      <c r="Q23" s="56">
        <f t="shared" si="3"/>
        <v>1212.0889999999999</v>
      </c>
    </row>
    <row r="24" spans="1:21" x14ac:dyDescent="0.2">
      <c r="A24" s="23" t="s">
        <v>43</v>
      </c>
      <c r="B24" s="24" t="s">
        <v>44</v>
      </c>
      <c r="C24" s="25">
        <v>16250.565000000001</v>
      </c>
      <c r="D24" s="29"/>
      <c r="E24" s="27">
        <f t="shared" si="0"/>
        <v>-15515.461258741196</v>
      </c>
      <c r="F24" s="28">
        <f t="shared" si="4"/>
        <v>-15516</v>
      </c>
      <c r="G24" s="1">
        <f t="shared" si="1"/>
        <v>0.97553359999983513</v>
      </c>
      <c r="H24" s="1">
        <f t="shared" si="2"/>
        <v>0.97553359999983513</v>
      </c>
      <c r="Q24" s="56">
        <f t="shared" si="3"/>
        <v>1232.0650000000005</v>
      </c>
    </row>
    <row r="25" spans="1:21" x14ac:dyDescent="0.2">
      <c r="A25" s="23" t="s">
        <v>43</v>
      </c>
      <c r="B25" s="24" t="s">
        <v>44</v>
      </c>
      <c r="C25" s="25">
        <v>17242.774000000001</v>
      </c>
      <c r="D25" s="29"/>
      <c r="E25" s="27">
        <f t="shared" si="0"/>
        <v>-14967.510961943921</v>
      </c>
      <c r="F25" s="28">
        <f t="shared" si="4"/>
        <v>-14968</v>
      </c>
      <c r="G25" s="1">
        <f t="shared" si="1"/>
        <v>0.88553279999905499</v>
      </c>
      <c r="H25" s="1">
        <f t="shared" si="2"/>
        <v>0.88553279999905499</v>
      </c>
      <c r="Q25" s="56">
        <f t="shared" si="3"/>
        <v>2224.2740000000013</v>
      </c>
    </row>
    <row r="26" spans="1:21" x14ac:dyDescent="0.2">
      <c r="A26" s="23" t="s">
        <v>43</v>
      </c>
      <c r="B26" s="24" t="s">
        <v>44</v>
      </c>
      <c r="C26" s="25">
        <v>18468.620999999999</v>
      </c>
      <c r="D26" s="29"/>
      <c r="E26" s="27">
        <f t="shared" si="0"/>
        <v>-14290.533402298677</v>
      </c>
      <c r="F26" s="28">
        <f t="shared" si="4"/>
        <v>-14291</v>
      </c>
      <c r="G26" s="1">
        <f t="shared" si="1"/>
        <v>0.84489859999666805</v>
      </c>
      <c r="H26" s="1">
        <f t="shared" si="2"/>
        <v>0.84489859999666805</v>
      </c>
      <c r="Q26" s="56">
        <f t="shared" si="3"/>
        <v>3450.1209999999992</v>
      </c>
    </row>
    <row r="27" spans="1:21" x14ac:dyDescent="0.2">
      <c r="A27" s="23" t="s">
        <v>43</v>
      </c>
      <c r="B27" s="24" t="s">
        <v>44</v>
      </c>
      <c r="C27" s="25">
        <v>19234.504000000001</v>
      </c>
      <c r="D27" s="29"/>
      <c r="E27" s="27">
        <f t="shared" si="0"/>
        <v>-13867.5722951509</v>
      </c>
      <c r="F27" s="28">
        <f t="shared" si="4"/>
        <v>-13868</v>
      </c>
      <c r="G27" s="1">
        <f t="shared" si="1"/>
        <v>0.77447279999978491</v>
      </c>
      <c r="H27" s="1">
        <f t="shared" si="2"/>
        <v>0.77447279999978491</v>
      </c>
      <c r="Q27" s="56">
        <f t="shared" si="3"/>
        <v>4216.0040000000008</v>
      </c>
    </row>
    <row r="28" spans="1:21" x14ac:dyDescent="0.2">
      <c r="A28" s="23" t="s">
        <v>43</v>
      </c>
      <c r="B28" s="24" t="s">
        <v>44</v>
      </c>
      <c r="C28" s="25">
        <v>19460.830999999998</v>
      </c>
      <c r="D28" s="29"/>
      <c r="E28" s="27">
        <f t="shared" si="0"/>
        <v>-13742.582553248501</v>
      </c>
      <c r="F28" s="28">
        <f t="shared" si="4"/>
        <v>-13743</v>
      </c>
      <c r="G28" s="1">
        <f t="shared" si="1"/>
        <v>0.75589779999791062</v>
      </c>
      <c r="H28" s="1">
        <f t="shared" si="2"/>
        <v>0.75589779999791062</v>
      </c>
      <c r="Q28" s="56">
        <f t="shared" si="3"/>
        <v>4442.3309999999983</v>
      </c>
    </row>
    <row r="29" spans="1:21" x14ac:dyDescent="0.2">
      <c r="A29" s="23" t="s">
        <v>43</v>
      </c>
      <c r="B29" s="24" t="s">
        <v>44</v>
      </c>
      <c r="C29" s="25">
        <v>19558.631000000001</v>
      </c>
      <c r="D29" s="29"/>
      <c r="E29" s="27">
        <f t="shared" si="0"/>
        <v>-13688.572219713153</v>
      </c>
      <c r="F29" s="28">
        <f t="shared" si="4"/>
        <v>-13689</v>
      </c>
      <c r="G29" s="1">
        <f t="shared" si="1"/>
        <v>0.77460939999946277</v>
      </c>
      <c r="H29" s="1">
        <f t="shared" si="2"/>
        <v>0.77460939999946277</v>
      </c>
      <c r="Q29" s="56">
        <f t="shared" si="3"/>
        <v>4540.1310000000012</v>
      </c>
    </row>
    <row r="30" spans="1:21" x14ac:dyDescent="0.2">
      <c r="A30" s="23" t="s">
        <v>43</v>
      </c>
      <c r="B30" s="24" t="s">
        <v>44</v>
      </c>
      <c r="C30" s="25">
        <v>19942.512999999999</v>
      </c>
      <c r="D30" s="29"/>
      <c r="E30" s="27">
        <f t="shared" si="0"/>
        <v>-13476.572272287631</v>
      </c>
      <c r="F30" s="28">
        <f t="shared" si="4"/>
        <v>-13477</v>
      </c>
      <c r="G30" s="1">
        <f t="shared" si="1"/>
        <v>0.77451419999852078</v>
      </c>
      <c r="H30" s="1">
        <f t="shared" si="2"/>
        <v>0.77451419999852078</v>
      </c>
      <c r="Q30" s="56">
        <f t="shared" si="3"/>
        <v>4924.012999999999</v>
      </c>
    </row>
    <row r="31" spans="1:21" x14ac:dyDescent="0.2">
      <c r="A31" s="23" t="s">
        <v>43</v>
      </c>
      <c r="B31" s="24" t="s">
        <v>44</v>
      </c>
      <c r="C31" s="25">
        <v>19951.526999999998</v>
      </c>
      <c r="D31" s="29"/>
      <c r="E31" s="27">
        <f t="shared" si="0"/>
        <v>-13471.594264654834</v>
      </c>
      <c r="F31" s="28">
        <f t="shared" si="4"/>
        <v>-13472</v>
      </c>
      <c r="G31" s="1">
        <f t="shared" si="1"/>
        <v>0.73469119999572285</v>
      </c>
      <c r="H31" s="1">
        <f t="shared" si="2"/>
        <v>0.73469119999572285</v>
      </c>
      <c r="Q31" s="56">
        <f t="shared" si="3"/>
        <v>4933.0269999999982</v>
      </c>
    </row>
    <row r="32" spans="1:21" x14ac:dyDescent="0.2">
      <c r="A32" s="23" t="s">
        <v>43</v>
      </c>
      <c r="B32" s="24" t="s">
        <v>44</v>
      </c>
      <c r="C32" s="25">
        <v>20954.695</v>
      </c>
      <c r="D32" s="29"/>
      <c r="E32" s="27">
        <f t="shared" si="0"/>
        <v>-12917.591828335942</v>
      </c>
      <c r="F32" s="28">
        <f t="shared" si="4"/>
        <v>-12918</v>
      </c>
      <c r="G32" s="1">
        <f t="shared" si="1"/>
        <v>0.73910279999836348</v>
      </c>
      <c r="H32" s="1">
        <f t="shared" si="2"/>
        <v>0.73910279999836348</v>
      </c>
      <c r="Q32" s="56">
        <f t="shared" si="3"/>
        <v>5936.1949999999997</v>
      </c>
    </row>
    <row r="33" spans="1:21" x14ac:dyDescent="0.2">
      <c r="A33" s="23" t="s">
        <v>43</v>
      </c>
      <c r="B33" s="24" t="s">
        <v>44</v>
      </c>
      <c r="C33" s="25">
        <v>21220.873</v>
      </c>
      <c r="D33" s="29"/>
      <c r="E33" s="27">
        <f t="shared" si="0"/>
        <v>-12770.594256150138</v>
      </c>
      <c r="F33" s="28">
        <f t="shared" si="4"/>
        <v>-12771</v>
      </c>
      <c r="G33" s="1">
        <f t="shared" si="1"/>
        <v>0.73470660000020871</v>
      </c>
      <c r="H33" s="1">
        <f t="shared" si="2"/>
        <v>0.73470660000020871</v>
      </c>
      <c r="Q33" s="56">
        <f t="shared" si="3"/>
        <v>6202.3729999999996</v>
      </c>
    </row>
    <row r="34" spans="1:21" x14ac:dyDescent="0.2">
      <c r="A34" s="23" t="s">
        <v>43</v>
      </c>
      <c r="B34" s="24" t="s">
        <v>44</v>
      </c>
      <c r="C34" s="25">
        <v>21336.723000000002</v>
      </c>
      <c r="D34" s="29"/>
      <c r="E34" s="27">
        <f t="shared" si="0"/>
        <v>-12706.615757785412</v>
      </c>
      <c r="F34" s="28">
        <f t="shared" si="4"/>
        <v>-12707</v>
      </c>
      <c r="G34" s="1">
        <f t="shared" si="1"/>
        <v>0.69577220000064699</v>
      </c>
      <c r="H34" s="1">
        <f t="shared" si="2"/>
        <v>0.69577220000064699</v>
      </c>
      <c r="Q34" s="56">
        <f t="shared" si="3"/>
        <v>6318.2230000000018</v>
      </c>
    </row>
    <row r="35" spans="1:21" x14ac:dyDescent="0.2">
      <c r="A35" s="23" t="s">
        <v>43</v>
      </c>
      <c r="B35" s="24" t="s">
        <v>44</v>
      </c>
      <c r="C35" s="25">
        <v>21660.798999999999</v>
      </c>
      <c r="D35" s="29"/>
      <c r="E35" s="27">
        <f t="shared" si="0"/>
        <v>-12527.643847245525</v>
      </c>
      <c r="F35" s="28">
        <f t="shared" si="4"/>
        <v>-12528</v>
      </c>
      <c r="G35" s="1">
        <f t="shared" si="1"/>
        <v>0.64490879999721074</v>
      </c>
      <c r="H35" s="1">
        <f t="shared" si="2"/>
        <v>0.64490879999721074</v>
      </c>
      <c r="Q35" s="56">
        <f t="shared" si="3"/>
        <v>6642.2989999999991</v>
      </c>
    </row>
    <row r="36" spans="1:21" x14ac:dyDescent="0.2">
      <c r="A36" s="23" t="s">
        <v>43</v>
      </c>
      <c r="B36" s="24" t="s">
        <v>44</v>
      </c>
      <c r="C36" s="25">
        <v>21749.535</v>
      </c>
      <c r="D36" s="29"/>
      <c r="E36" s="27">
        <f t="shared" si="0"/>
        <v>-12478.63913398793</v>
      </c>
      <c r="F36" s="28">
        <f t="shared" si="4"/>
        <v>-12479</v>
      </c>
      <c r="G36" s="1">
        <f t="shared" si="1"/>
        <v>0.65344339999865042</v>
      </c>
      <c r="H36" s="1">
        <f t="shared" si="2"/>
        <v>0.65344339999865042</v>
      </c>
      <c r="Q36" s="56">
        <f t="shared" si="3"/>
        <v>6731.0349999999999</v>
      </c>
    </row>
    <row r="37" spans="1:21" x14ac:dyDescent="0.2">
      <c r="A37" s="23" t="s">
        <v>43</v>
      </c>
      <c r="B37" s="24" t="s">
        <v>44</v>
      </c>
      <c r="C37" s="25">
        <v>22750.834999999999</v>
      </c>
      <c r="D37" s="29"/>
      <c r="E37" s="27">
        <f t="shared" si="0"/>
        <v>-11925.668306084624</v>
      </c>
      <c r="F37" s="28">
        <f t="shared" si="4"/>
        <v>-11926</v>
      </c>
      <c r="G37" s="1">
        <f t="shared" si="1"/>
        <v>0.60061959999802639</v>
      </c>
      <c r="H37" s="1">
        <f t="shared" si="2"/>
        <v>0.60061959999802639</v>
      </c>
      <c r="Q37" s="56">
        <f t="shared" si="3"/>
        <v>7732.3349999999991</v>
      </c>
    </row>
    <row r="38" spans="1:21" x14ac:dyDescent="0.2">
      <c r="A38" s="23" t="s">
        <v>45</v>
      </c>
      <c r="B38" s="24" t="s">
        <v>44</v>
      </c>
      <c r="C38" s="25">
        <v>24941.7896</v>
      </c>
      <c r="D38" s="29"/>
      <c r="E38" s="27">
        <f t="shared" si="0"/>
        <v>-10715.707276362704</v>
      </c>
      <c r="F38" s="28">
        <f t="shared" si="4"/>
        <v>-10716</v>
      </c>
      <c r="G38" s="1">
        <f t="shared" si="1"/>
        <v>0.53005359999951907</v>
      </c>
      <c r="J38" s="1">
        <f>+G38</f>
        <v>0.53005359999951907</v>
      </c>
      <c r="Q38" s="56">
        <f t="shared" si="3"/>
        <v>9923.2896000000001</v>
      </c>
    </row>
    <row r="39" spans="1:21" x14ac:dyDescent="0.2">
      <c r="A39" s="23" t="s">
        <v>45</v>
      </c>
      <c r="B39" s="24" t="s">
        <v>44</v>
      </c>
      <c r="C39" s="25">
        <v>24941.7899</v>
      </c>
      <c r="D39" s="29"/>
      <c r="E39" s="27">
        <f t="shared" si="0"/>
        <v>-10715.707110686835</v>
      </c>
      <c r="F39" s="28">
        <f t="shared" si="4"/>
        <v>-10716</v>
      </c>
      <c r="G39" s="1">
        <f t="shared" si="1"/>
        <v>0.53035359999921639</v>
      </c>
      <c r="J39" s="1">
        <f>+G39</f>
        <v>0.53035359999921639</v>
      </c>
      <c r="Q39" s="56">
        <f t="shared" si="3"/>
        <v>9923.2898999999998</v>
      </c>
    </row>
    <row r="40" spans="1:21" x14ac:dyDescent="0.2">
      <c r="A40" s="23" t="s">
        <v>46</v>
      </c>
      <c r="B40" s="24" t="s">
        <v>44</v>
      </c>
      <c r="C40" s="25">
        <v>25327.455000000002</v>
      </c>
      <c r="D40" s="29"/>
      <c r="E40" s="27">
        <f t="shared" si="0"/>
        <v>-10502.722441116863</v>
      </c>
      <c r="F40" s="28">
        <f t="shared" si="4"/>
        <v>-10503</v>
      </c>
      <c r="G40" s="1">
        <f t="shared" si="1"/>
        <v>0.50259379999988596</v>
      </c>
      <c r="H40" s="1">
        <f t="shared" ref="H40:H49" si="5">+G40</f>
        <v>0.50259379999988596</v>
      </c>
      <c r="Q40" s="56">
        <f t="shared" si="3"/>
        <v>10308.955000000002</v>
      </c>
    </row>
    <row r="41" spans="1:21" x14ac:dyDescent="0.2">
      <c r="A41" s="23" t="s">
        <v>47</v>
      </c>
      <c r="B41" s="24" t="s">
        <v>44</v>
      </c>
      <c r="C41" s="25">
        <v>27221.437999999998</v>
      </c>
      <c r="D41" s="29"/>
      <c r="E41" s="27">
        <f t="shared" si="0"/>
        <v>-9456.7648384555359</v>
      </c>
      <c r="F41" s="28">
        <f t="shared" si="4"/>
        <v>-9457.5</v>
      </c>
      <c r="G41" s="1">
        <f t="shared" si="1"/>
        <v>1.3312044999984209</v>
      </c>
      <c r="Q41" s="56">
        <f t="shared" si="3"/>
        <v>12202.937999999998</v>
      </c>
      <c r="U41" s="1">
        <f>+G41</f>
        <v>1.3312044999984209</v>
      </c>
    </row>
    <row r="42" spans="1:21" x14ac:dyDescent="0.2">
      <c r="A42" s="23" t="s">
        <v>48</v>
      </c>
      <c r="B42" s="24" t="s">
        <v>44</v>
      </c>
      <c r="C42" s="25">
        <v>27576.333999999999</v>
      </c>
      <c r="D42" s="29"/>
      <c r="E42" s="27">
        <f t="shared" si="0"/>
        <v>-9260.7724935643218</v>
      </c>
      <c r="F42" s="28">
        <f t="shared" si="4"/>
        <v>-9261.5</v>
      </c>
      <c r="G42" s="1">
        <f t="shared" si="1"/>
        <v>1.3173428999980388</v>
      </c>
      <c r="Q42" s="56">
        <f t="shared" si="3"/>
        <v>12557.833999999999</v>
      </c>
      <c r="U42" s="1">
        <f>+G42</f>
        <v>1.3173428999980388</v>
      </c>
    </row>
    <row r="43" spans="1:21" x14ac:dyDescent="0.2">
      <c r="A43" s="23" t="s">
        <v>49</v>
      </c>
      <c r="B43" s="24" t="s">
        <v>44</v>
      </c>
      <c r="C43" s="25">
        <v>27862.421999999999</v>
      </c>
      <c r="D43" s="29"/>
      <c r="E43" s="27">
        <f t="shared" si="0"/>
        <v>-9102.7795661567507</v>
      </c>
      <c r="F43" s="28">
        <f t="shared" si="4"/>
        <v>-9103.5</v>
      </c>
      <c r="G43" s="1">
        <f t="shared" si="1"/>
        <v>1.304536099996767</v>
      </c>
      <c r="Q43" s="56">
        <f t="shared" si="3"/>
        <v>12843.921999999999</v>
      </c>
      <c r="U43" s="1">
        <f>+G43</f>
        <v>1.304536099996767</v>
      </c>
    </row>
    <row r="44" spans="1:21" x14ac:dyDescent="0.2">
      <c r="A44" s="23" t="s">
        <v>47</v>
      </c>
      <c r="B44" s="24" t="s">
        <v>44</v>
      </c>
      <c r="C44" s="25">
        <v>27929.418000000001</v>
      </c>
      <c r="D44" s="29"/>
      <c r="E44" s="27">
        <f t="shared" si="0"/>
        <v>-9065.7808309263382</v>
      </c>
      <c r="F44" s="28">
        <f t="shared" si="4"/>
        <v>-9066.5</v>
      </c>
      <c r="G44" s="1">
        <f t="shared" si="1"/>
        <v>1.3022459000021627</v>
      </c>
      <c r="Q44" s="56">
        <f t="shared" si="3"/>
        <v>12910.918000000001</v>
      </c>
      <c r="U44" s="1">
        <f>+G44</f>
        <v>1.3022459000021627</v>
      </c>
    </row>
    <row r="45" spans="1:21" x14ac:dyDescent="0.2">
      <c r="A45" s="23" t="s">
        <v>49</v>
      </c>
      <c r="B45" s="24" t="s">
        <v>44</v>
      </c>
      <c r="C45" s="25">
        <v>31230.300999999999</v>
      </c>
      <c r="D45" s="29"/>
      <c r="E45" s="27">
        <f t="shared" si="0"/>
        <v>-7242.8586244727785</v>
      </c>
      <c r="F45" s="1">
        <f t="shared" ref="F45:F75" si="6">ROUND(2*E45,0)/2</f>
        <v>-7243</v>
      </c>
      <c r="G45" s="1">
        <f t="shared" si="1"/>
        <v>0.25599779999902239</v>
      </c>
      <c r="H45" s="1">
        <f t="shared" si="5"/>
        <v>0.25599779999902239</v>
      </c>
      <c r="Q45" s="56">
        <f t="shared" si="3"/>
        <v>16211.800999999999</v>
      </c>
    </row>
    <row r="46" spans="1:21" x14ac:dyDescent="0.2">
      <c r="A46" s="23" t="s">
        <v>47</v>
      </c>
      <c r="B46" s="24" t="s">
        <v>44</v>
      </c>
      <c r="C46" s="25">
        <v>31554.415000000001</v>
      </c>
      <c r="D46" s="29"/>
      <c r="E46" s="27">
        <f t="shared" si="0"/>
        <v>-7063.8657283227203</v>
      </c>
      <c r="F46" s="1">
        <f t="shared" si="6"/>
        <v>-7064</v>
      </c>
      <c r="G46" s="1">
        <f t="shared" si="1"/>
        <v>0.24313439999968978</v>
      </c>
      <c r="H46" s="1">
        <f t="shared" si="5"/>
        <v>0.24313439999968978</v>
      </c>
      <c r="Q46" s="56">
        <f t="shared" si="3"/>
        <v>16535.915000000001</v>
      </c>
    </row>
    <row r="47" spans="1:21" x14ac:dyDescent="0.2">
      <c r="A47" s="23" t="s">
        <v>47</v>
      </c>
      <c r="B47" s="24" t="s">
        <v>44</v>
      </c>
      <c r="C47" s="25">
        <v>31907.499</v>
      </c>
      <c r="D47" s="29"/>
      <c r="E47" s="27">
        <f t="shared" si="0"/>
        <v>-6868.8740656847394</v>
      </c>
      <c r="F47" s="1">
        <f t="shared" si="6"/>
        <v>-6869</v>
      </c>
      <c r="G47" s="1">
        <f t="shared" si="1"/>
        <v>0.22803740000017569</v>
      </c>
      <c r="H47" s="1">
        <f t="shared" si="5"/>
        <v>0.22803740000017569</v>
      </c>
      <c r="Q47" s="56">
        <f t="shared" si="3"/>
        <v>16888.999</v>
      </c>
    </row>
    <row r="48" spans="1:21" x14ac:dyDescent="0.2">
      <c r="A48" s="23" t="s">
        <v>50</v>
      </c>
      <c r="B48" s="24" t="s">
        <v>44</v>
      </c>
      <c r="C48" s="25">
        <v>33763.447</v>
      </c>
      <c r="D48" s="29"/>
      <c r="E48" s="27">
        <f t="shared" si="0"/>
        <v>-5843.9214020419886</v>
      </c>
      <c r="F48" s="1">
        <f t="shared" si="6"/>
        <v>-5844</v>
      </c>
      <c r="G48" s="1">
        <f t="shared" si="1"/>
        <v>0.14232240000274032</v>
      </c>
      <c r="H48" s="1">
        <f t="shared" si="5"/>
        <v>0.14232240000274032</v>
      </c>
      <c r="Q48" s="56">
        <f t="shared" si="3"/>
        <v>18744.947</v>
      </c>
    </row>
    <row r="49" spans="1:32" x14ac:dyDescent="0.2">
      <c r="A49" s="23" t="s">
        <v>51</v>
      </c>
      <c r="B49" s="24" t="s">
        <v>44</v>
      </c>
      <c r="C49" s="25">
        <v>34480.49</v>
      </c>
      <c r="D49" s="29"/>
      <c r="E49" s="27">
        <f t="shared" si="0"/>
        <v>-5447.9323264879395</v>
      </c>
      <c r="F49" s="1">
        <f t="shared" si="6"/>
        <v>-5448</v>
      </c>
      <c r="G49" s="1">
        <f t="shared" si="1"/>
        <v>0.12254079999547685</v>
      </c>
      <c r="H49" s="1">
        <f t="shared" si="5"/>
        <v>0.12254079999547685</v>
      </c>
      <c r="Q49" s="56">
        <f t="shared" si="3"/>
        <v>19461.989999999998</v>
      </c>
    </row>
    <row r="50" spans="1:32" x14ac:dyDescent="0.2">
      <c r="A50" s="1" t="s">
        <v>52</v>
      </c>
      <c r="C50" s="29">
        <v>41042.569000000003</v>
      </c>
      <c r="D50" s="29"/>
      <c r="E50" s="1">
        <f t="shared" si="0"/>
        <v>-1824.0051743887623</v>
      </c>
      <c r="F50" s="1">
        <f t="shared" si="6"/>
        <v>-1824</v>
      </c>
      <c r="G50" s="1">
        <f t="shared" si="1"/>
        <v>-9.3695999967167154E-3</v>
      </c>
      <c r="I50" s="1">
        <f t="shared" ref="I50:I68" si="7">+G50</f>
        <v>-9.3695999967167154E-3</v>
      </c>
      <c r="Q50" s="56">
        <f t="shared" si="3"/>
        <v>26024.069000000003</v>
      </c>
      <c r="AB50" s="1">
        <v>15</v>
      </c>
      <c r="AD50" s="1" t="s">
        <v>53</v>
      </c>
      <c r="AF50" s="1" t="s">
        <v>54</v>
      </c>
    </row>
    <row r="51" spans="1:32" x14ac:dyDescent="0.2">
      <c r="A51" s="1" t="s">
        <v>55</v>
      </c>
      <c r="C51" s="29">
        <v>41062.487000000001</v>
      </c>
      <c r="D51" s="29"/>
      <c r="E51" s="1">
        <f t="shared" si="0"/>
        <v>-1813.005401143804</v>
      </c>
      <c r="F51" s="1">
        <f t="shared" si="6"/>
        <v>-1813</v>
      </c>
      <c r="G51" s="1">
        <f t="shared" si="1"/>
        <v>-9.7802000018418767E-3</v>
      </c>
      <c r="I51" s="1">
        <f t="shared" si="7"/>
        <v>-9.7802000018418767E-3</v>
      </c>
      <c r="Q51" s="56">
        <f t="shared" si="3"/>
        <v>26043.987000000001</v>
      </c>
      <c r="AB51" s="1">
        <v>16</v>
      </c>
      <c r="AD51" s="1" t="s">
        <v>53</v>
      </c>
      <c r="AF51" s="1" t="s">
        <v>54</v>
      </c>
    </row>
    <row r="52" spans="1:32" x14ac:dyDescent="0.2">
      <c r="A52" s="1" t="s">
        <v>55</v>
      </c>
      <c r="C52" s="29">
        <v>41062.491000000002</v>
      </c>
      <c r="D52" s="29"/>
      <c r="E52" s="1">
        <f t="shared" si="0"/>
        <v>-1813.003192132207</v>
      </c>
      <c r="F52" s="1">
        <f t="shared" si="6"/>
        <v>-1813</v>
      </c>
      <c r="G52" s="1">
        <f t="shared" si="1"/>
        <v>-5.7802000010269694E-3</v>
      </c>
      <c r="I52" s="1">
        <f t="shared" si="7"/>
        <v>-5.7802000010269694E-3</v>
      </c>
      <c r="Q52" s="56">
        <f t="shared" si="3"/>
        <v>26043.991000000002</v>
      </c>
      <c r="AB52" s="1">
        <v>14</v>
      </c>
      <c r="AD52" s="1" t="s">
        <v>56</v>
      </c>
      <c r="AF52" s="1" t="s">
        <v>54</v>
      </c>
    </row>
    <row r="53" spans="1:32" x14ac:dyDescent="0.2">
      <c r="A53" s="1" t="s">
        <v>55</v>
      </c>
      <c r="C53" s="29">
        <v>41091.46</v>
      </c>
      <c r="D53" s="29"/>
      <c r="E53" s="1">
        <f t="shared" ref="E53:E83" si="8">+(C53-C$7)/C$8</f>
        <v>-1797.0049778971829</v>
      </c>
      <c r="F53" s="1">
        <f t="shared" si="6"/>
        <v>-1797</v>
      </c>
      <c r="G53" s="1">
        <f t="shared" ref="G53:G81" si="9">+C53-(C$7+F53*C$8)</f>
        <v>-9.0138000014121644E-3</v>
      </c>
      <c r="I53" s="1">
        <f t="shared" si="7"/>
        <v>-9.0138000014121644E-3</v>
      </c>
      <c r="Q53" s="56">
        <f t="shared" ref="Q53:Q83" si="10">+C53-15018.5</f>
        <v>26072.959999999999</v>
      </c>
      <c r="AB53" s="1">
        <v>20</v>
      </c>
      <c r="AD53" s="1" t="s">
        <v>53</v>
      </c>
      <c r="AF53" s="1" t="s">
        <v>54</v>
      </c>
    </row>
    <row r="54" spans="1:32" x14ac:dyDescent="0.2">
      <c r="A54" s="1" t="s">
        <v>57</v>
      </c>
      <c r="C54" s="29">
        <v>41397.474999999999</v>
      </c>
      <c r="D54" s="29"/>
      <c r="E54" s="1">
        <f t="shared" si="8"/>
        <v>-1628.0073069685602</v>
      </c>
      <c r="F54" s="1">
        <f t="shared" si="6"/>
        <v>-1628</v>
      </c>
      <c r="G54" s="1">
        <f t="shared" si="9"/>
        <v>-1.3231199998699594E-2</v>
      </c>
      <c r="I54" s="1">
        <f t="shared" si="7"/>
        <v>-1.3231199998699594E-2</v>
      </c>
      <c r="Q54" s="56">
        <f t="shared" si="10"/>
        <v>26378.974999999999</v>
      </c>
      <c r="AB54" s="1">
        <v>8</v>
      </c>
      <c r="AD54" s="1" t="s">
        <v>56</v>
      </c>
      <c r="AF54" s="1" t="s">
        <v>54</v>
      </c>
    </row>
    <row r="55" spans="1:32" x14ac:dyDescent="0.2">
      <c r="A55" s="1" t="s">
        <v>58</v>
      </c>
      <c r="C55" s="29">
        <v>42152.565000000002</v>
      </c>
      <c r="D55" s="29"/>
      <c r="E55" s="1">
        <f t="shared" si="8"/>
        <v>-1211.0066653611398</v>
      </c>
      <c r="F55" s="1">
        <f t="shared" si="6"/>
        <v>-1211</v>
      </c>
      <c r="G55" s="1">
        <f t="shared" si="9"/>
        <v>-1.2069399999745656E-2</v>
      </c>
      <c r="I55" s="1">
        <f t="shared" si="7"/>
        <v>-1.2069399999745656E-2</v>
      </c>
      <c r="Q55" s="56">
        <f t="shared" si="10"/>
        <v>27134.065000000002</v>
      </c>
      <c r="AA55" s="1" t="s">
        <v>59</v>
      </c>
      <c r="AB55" s="1">
        <v>9</v>
      </c>
      <c r="AD55" s="1" t="s">
        <v>56</v>
      </c>
      <c r="AF55" s="1" t="s">
        <v>54</v>
      </c>
    </row>
    <row r="56" spans="1:32" x14ac:dyDescent="0.2">
      <c r="A56" s="1" t="s">
        <v>60</v>
      </c>
      <c r="C56" s="29">
        <v>42545.48</v>
      </c>
      <c r="D56" s="29"/>
      <c r="E56" s="1">
        <f t="shared" si="8"/>
        <v>-994.01821749773399</v>
      </c>
      <c r="F56" s="1">
        <f t="shared" si="6"/>
        <v>-994</v>
      </c>
      <c r="G56" s="1">
        <f t="shared" si="9"/>
        <v>-3.298759999597678E-2</v>
      </c>
      <c r="I56" s="1">
        <f t="shared" si="7"/>
        <v>-3.298759999597678E-2</v>
      </c>
      <c r="Q56" s="56">
        <f t="shared" si="10"/>
        <v>27526.980000000003</v>
      </c>
      <c r="AA56" s="1" t="s">
        <v>59</v>
      </c>
      <c r="AF56" s="1" t="s">
        <v>61</v>
      </c>
    </row>
    <row r="57" spans="1:32" x14ac:dyDescent="0.2">
      <c r="A57" s="1" t="s">
        <v>62</v>
      </c>
      <c r="C57" s="29">
        <v>42545.489000000001</v>
      </c>
      <c r="D57" s="29"/>
      <c r="E57" s="1">
        <f t="shared" si="8"/>
        <v>-994.01324722164281</v>
      </c>
      <c r="F57" s="1">
        <f t="shared" si="6"/>
        <v>-994</v>
      </c>
      <c r="G57" s="1">
        <f t="shared" si="9"/>
        <v>-2.3987599997781217E-2</v>
      </c>
      <c r="I57" s="1">
        <f t="shared" si="7"/>
        <v>-2.3987599997781217E-2</v>
      </c>
      <c r="Q57" s="56">
        <f t="shared" si="10"/>
        <v>27526.989000000001</v>
      </c>
      <c r="AB57" s="1">
        <v>10</v>
      </c>
      <c r="AD57" s="1" t="s">
        <v>56</v>
      </c>
      <c r="AF57" s="1" t="s">
        <v>54</v>
      </c>
    </row>
    <row r="58" spans="1:32" x14ac:dyDescent="0.2">
      <c r="A58" s="1" t="s">
        <v>63</v>
      </c>
      <c r="C58" s="29">
        <v>42842.472000000002</v>
      </c>
      <c r="D58" s="29"/>
      <c r="E58" s="1">
        <f t="shared" si="8"/>
        <v>-830.00352447800174</v>
      </c>
      <c r="F58" s="1">
        <f t="shared" si="6"/>
        <v>-830</v>
      </c>
      <c r="G58" s="1">
        <f t="shared" si="9"/>
        <v>-6.3819999995757826E-3</v>
      </c>
      <c r="I58" s="1">
        <f t="shared" si="7"/>
        <v>-6.3819999995757826E-3</v>
      </c>
      <c r="Q58" s="56">
        <f t="shared" si="10"/>
        <v>27823.972000000002</v>
      </c>
      <c r="AA58" s="1" t="s">
        <v>59</v>
      </c>
      <c r="AB58" s="1">
        <v>10</v>
      </c>
      <c r="AD58" s="1" t="s">
        <v>56</v>
      </c>
      <c r="AF58" s="1" t="s">
        <v>54</v>
      </c>
    </row>
    <row r="59" spans="1:32" x14ac:dyDescent="0.2">
      <c r="A59" s="1" t="s">
        <v>64</v>
      </c>
      <c r="C59" s="29">
        <v>42871.446000000004</v>
      </c>
      <c r="D59" s="29"/>
      <c r="E59" s="1">
        <f t="shared" si="8"/>
        <v>-814.00254897847958</v>
      </c>
      <c r="F59" s="1">
        <f t="shared" si="6"/>
        <v>-814</v>
      </c>
      <c r="G59" s="1">
        <f t="shared" si="9"/>
        <v>-4.6155999953043647E-3</v>
      </c>
      <c r="I59" s="1">
        <f t="shared" si="7"/>
        <v>-4.6155999953043647E-3</v>
      </c>
      <c r="Q59" s="56">
        <f t="shared" si="10"/>
        <v>27852.946000000004</v>
      </c>
      <c r="AA59" s="1" t="s">
        <v>59</v>
      </c>
      <c r="AB59" s="1">
        <v>7</v>
      </c>
      <c r="AD59" s="1" t="s">
        <v>56</v>
      </c>
      <c r="AF59" s="1" t="s">
        <v>54</v>
      </c>
    </row>
    <row r="60" spans="1:32" x14ac:dyDescent="0.2">
      <c r="A60" s="1" t="s">
        <v>64</v>
      </c>
      <c r="C60" s="29">
        <v>42900.406999999999</v>
      </c>
      <c r="D60" s="29"/>
      <c r="E60" s="1">
        <f t="shared" si="8"/>
        <v>-798.00875276664965</v>
      </c>
      <c r="F60" s="1">
        <f t="shared" si="6"/>
        <v>-798</v>
      </c>
      <c r="G60" s="1">
        <f t="shared" si="9"/>
        <v>-1.5849200004595332E-2</v>
      </c>
      <c r="I60" s="1">
        <f t="shared" si="7"/>
        <v>-1.5849200004595332E-2</v>
      </c>
      <c r="Q60" s="56">
        <f t="shared" si="10"/>
        <v>27881.906999999999</v>
      </c>
      <c r="AA60" s="1" t="s">
        <v>59</v>
      </c>
      <c r="AB60" s="1">
        <v>13</v>
      </c>
      <c r="AD60" s="1" t="s">
        <v>65</v>
      </c>
      <c r="AF60" s="1" t="s">
        <v>54</v>
      </c>
    </row>
    <row r="61" spans="1:32" x14ac:dyDescent="0.2">
      <c r="A61" s="1" t="s">
        <v>64</v>
      </c>
      <c r="C61" s="29">
        <v>42900.411999999997</v>
      </c>
      <c r="D61" s="29"/>
      <c r="E61" s="1">
        <f t="shared" si="8"/>
        <v>-798.00599150215544</v>
      </c>
      <c r="F61" s="1">
        <f t="shared" si="6"/>
        <v>-798</v>
      </c>
      <c r="G61" s="1">
        <f t="shared" si="9"/>
        <v>-1.0849200007214677E-2</v>
      </c>
      <c r="I61" s="1">
        <f t="shared" si="7"/>
        <v>-1.0849200007214677E-2</v>
      </c>
      <c r="Q61" s="56">
        <f t="shared" si="10"/>
        <v>27881.911999999997</v>
      </c>
      <c r="AA61" s="1" t="s">
        <v>59</v>
      </c>
      <c r="AB61" s="1">
        <v>13</v>
      </c>
      <c r="AD61" s="1" t="s">
        <v>53</v>
      </c>
      <c r="AF61" s="1" t="s">
        <v>54</v>
      </c>
    </row>
    <row r="62" spans="1:32" x14ac:dyDescent="0.2">
      <c r="A62" s="1" t="s">
        <v>64</v>
      </c>
      <c r="C62" s="29">
        <v>42900.413999999997</v>
      </c>
      <c r="D62" s="29"/>
      <c r="E62" s="1">
        <f t="shared" si="8"/>
        <v>-798.00488699635696</v>
      </c>
      <c r="F62" s="1">
        <f t="shared" si="6"/>
        <v>-798</v>
      </c>
      <c r="G62" s="1">
        <f t="shared" si="9"/>
        <v>-8.849200006807223E-3</v>
      </c>
      <c r="I62" s="1">
        <f t="shared" si="7"/>
        <v>-8.849200006807223E-3</v>
      </c>
      <c r="Q62" s="56">
        <f t="shared" si="10"/>
        <v>27881.913999999997</v>
      </c>
      <c r="AA62" s="1" t="s">
        <v>59</v>
      </c>
      <c r="AB62" s="1">
        <v>10</v>
      </c>
      <c r="AD62" s="1" t="s">
        <v>66</v>
      </c>
      <c r="AF62" s="1" t="s">
        <v>54</v>
      </c>
    </row>
    <row r="63" spans="1:32" x14ac:dyDescent="0.2">
      <c r="A63" s="1" t="s">
        <v>67</v>
      </c>
      <c r="C63" s="29">
        <v>43273.432000000001</v>
      </c>
      <c r="D63" s="29"/>
      <c r="E63" s="1">
        <f t="shared" si="8"/>
        <v>-592.00461506702743</v>
      </c>
      <c r="F63" s="1">
        <f t="shared" si="6"/>
        <v>-592</v>
      </c>
      <c r="G63" s="1">
        <f t="shared" si="9"/>
        <v>-8.3567999972729012E-3</v>
      </c>
      <c r="I63" s="1">
        <f t="shared" si="7"/>
        <v>-8.3567999972729012E-3</v>
      </c>
      <c r="Q63" s="56">
        <f t="shared" si="10"/>
        <v>28254.932000000001</v>
      </c>
      <c r="AA63" s="1" t="s">
        <v>59</v>
      </c>
      <c r="AB63" s="1">
        <v>10</v>
      </c>
      <c r="AD63" s="1" t="s">
        <v>56</v>
      </c>
      <c r="AF63" s="1" t="s">
        <v>54</v>
      </c>
    </row>
    <row r="64" spans="1:32" x14ac:dyDescent="0.2">
      <c r="A64" s="1" t="s">
        <v>68</v>
      </c>
      <c r="C64" s="29">
        <v>43510.646000000001</v>
      </c>
      <c r="D64" s="29"/>
      <c r="E64" s="1">
        <f t="shared" si="8"/>
        <v>-461.00249585175226</v>
      </c>
      <c r="F64" s="1">
        <f t="shared" si="6"/>
        <v>-461</v>
      </c>
      <c r="G64" s="1">
        <f t="shared" si="9"/>
        <v>-4.5193999976618215E-3</v>
      </c>
      <c r="I64" s="1">
        <f t="shared" si="7"/>
        <v>-4.5193999976618215E-3</v>
      </c>
      <c r="Q64" s="56">
        <f t="shared" si="10"/>
        <v>28492.146000000001</v>
      </c>
      <c r="AA64" s="1" t="s">
        <v>59</v>
      </c>
      <c r="AB64" s="1">
        <v>11</v>
      </c>
      <c r="AD64" s="1" t="s">
        <v>56</v>
      </c>
      <c r="AF64" s="1" t="s">
        <v>54</v>
      </c>
    </row>
    <row r="65" spans="1:32" x14ac:dyDescent="0.2">
      <c r="A65" s="1" t="s">
        <v>69</v>
      </c>
      <c r="C65" s="29">
        <v>43981.447</v>
      </c>
      <c r="D65" s="29"/>
      <c r="E65" s="1">
        <f t="shared" si="8"/>
        <v>-201.00127868636287</v>
      </c>
      <c r="F65" s="1">
        <f t="shared" si="6"/>
        <v>-201</v>
      </c>
      <c r="G65" s="1">
        <f t="shared" si="9"/>
        <v>-2.3154000009526499E-3</v>
      </c>
      <c r="I65" s="1">
        <f t="shared" si="7"/>
        <v>-2.3154000009526499E-3</v>
      </c>
      <c r="Q65" s="56">
        <f t="shared" si="10"/>
        <v>28962.947</v>
      </c>
      <c r="AA65" s="1" t="s">
        <v>59</v>
      </c>
      <c r="AB65" s="1">
        <v>9</v>
      </c>
      <c r="AD65" s="1" t="s">
        <v>53</v>
      </c>
      <c r="AF65" s="1" t="s">
        <v>54</v>
      </c>
    </row>
    <row r="66" spans="1:32" x14ac:dyDescent="0.2">
      <c r="A66" s="1" t="s">
        <v>69</v>
      </c>
      <c r="C66" s="29">
        <v>44010.421999999999</v>
      </c>
      <c r="D66" s="29"/>
      <c r="E66" s="1">
        <f t="shared" si="8"/>
        <v>-184.99975093394349</v>
      </c>
      <c r="F66" s="1">
        <f t="shared" si="6"/>
        <v>-185</v>
      </c>
      <c r="G66" s="1">
        <f t="shared" si="9"/>
        <v>4.50999999884516E-4</v>
      </c>
      <c r="I66" s="1">
        <f t="shared" si="7"/>
        <v>4.50999999884516E-4</v>
      </c>
      <c r="Q66" s="56">
        <f t="shared" si="10"/>
        <v>28991.921999999999</v>
      </c>
      <c r="AA66" s="1" t="s">
        <v>59</v>
      </c>
      <c r="AB66" s="1">
        <v>7</v>
      </c>
      <c r="AD66" s="1" t="s">
        <v>53</v>
      </c>
      <c r="AF66" s="1" t="s">
        <v>54</v>
      </c>
    </row>
    <row r="67" spans="1:32" x14ac:dyDescent="0.2">
      <c r="A67" s="1" t="s">
        <v>70</v>
      </c>
      <c r="C67" s="29">
        <v>44039.389000000003</v>
      </c>
      <c r="D67" s="29"/>
      <c r="E67" s="1">
        <f t="shared" si="8"/>
        <v>-169.00264120471408</v>
      </c>
      <c r="F67" s="1">
        <f t="shared" si="6"/>
        <v>-169</v>
      </c>
      <c r="G67" s="1">
        <f t="shared" si="9"/>
        <v>-4.7826000009081326E-3</v>
      </c>
      <c r="I67" s="1">
        <f t="shared" si="7"/>
        <v>-4.7826000009081326E-3</v>
      </c>
      <c r="Q67" s="56">
        <f t="shared" si="10"/>
        <v>29020.889000000003</v>
      </c>
      <c r="AA67" s="1" t="s">
        <v>59</v>
      </c>
      <c r="AB67" s="1">
        <v>6</v>
      </c>
      <c r="AD67" s="1" t="s">
        <v>56</v>
      </c>
      <c r="AF67" s="1" t="s">
        <v>54</v>
      </c>
    </row>
    <row r="68" spans="1:32" x14ac:dyDescent="0.2">
      <c r="A68" s="1" t="s">
        <v>71</v>
      </c>
      <c r="C68" s="29">
        <v>44267.548999999999</v>
      </c>
      <c r="D68" s="29"/>
      <c r="E68" s="1">
        <f t="shared" si="8"/>
        <v>-43.000619738204179</v>
      </c>
      <c r="F68" s="1">
        <f t="shared" si="6"/>
        <v>-43</v>
      </c>
      <c r="G68" s="1">
        <f t="shared" si="9"/>
        <v>-1.1222000030102208E-3</v>
      </c>
      <c r="I68" s="1">
        <f t="shared" si="7"/>
        <v>-1.1222000030102208E-3</v>
      </c>
      <c r="Q68" s="56">
        <f t="shared" si="10"/>
        <v>29249.048999999999</v>
      </c>
      <c r="AA68" s="1" t="s">
        <v>59</v>
      </c>
      <c r="AB68" s="1">
        <v>6</v>
      </c>
      <c r="AD68" s="1" t="s">
        <v>56</v>
      </c>
      <c r="AF68" s="1" t="s">
        <v>54</v>
      </c>
    </row>
    <row r="69" spans="1:32" x14ac:dyDescent="0.2">
      <c r="A69" s="1" t="s">
        <v>72</v>
      </c>
      <c r="C69" s="29">
        <v>44345.413</v>
      </c>
      <c r="D69" s="29"/>
      <c r="E69" s="1">
        <f t="shared" si="8"/>
        <v>0</v>
      </c>
      <c r="F69" s="1">
        <f t="shared" si="6"/>
        <v>0</v>
      </c>
      <c r="G69" s="1">
        <f t="shared" si="9"/>
        <v>0</v>
      </c>
      <c r="I69" s="1">
        <f t="shared" ref="I69:I81" si="11">+G69</f>
        <v>0</v>
      </c>
      <c r="Q69" s="56">
        <f t="shared" si="10"/>
        <v>29326.913</v>
      </c>
      <c r="AA69" s="1" t="s">
        <v>59</v>
      </c>
      <c r="AB69" s="1">
        <v>7</v>
      </c>
      <c r="AD69" s="1" t="s">
        <v>56</v>
      </c>
      <c r="AF69" s="1" t="s">
        <v>54</v>
      </c>
    </row>
    <row r="70" spans="1:32" x14ac:dyDescent="0.2">
      <c r="A70" s="1" t="s">
        <v>72</v>
      </c>
      <c r="C70" s="29">
        <v>44354.466999999997</v>
      </c>
      <c r="D70" s="29"/>
      <c r="E70" s="1">
        <f t="shared" si="8"/>
        <v>5.0000977487611857</v>
      </c>
      <c r="F70" s="1">
        <f t="shared" si="6"/>
        <v>5</v>
      </c>
      <c r="G70" s="1">
        <f t="shared" si="9"/>
        <v>1.7699999443721026E-4</v>
      </c>
      <c r="I70" s="1">
        <f t="shared" si="11"/>
        <v>1.7699999443721026E-4</v>
      </c>
      <c r="Q70" s="56">
        <f t="shared" si="10"/>
        <v>29335.966999999997</v>
      </c>
      <c r="AA70" s="1" t="s">
        <v>59</v>
      </c>
      <c r="AB70" s="1">
        <v>6</v>
      </c>
      <c r="AD70" s="1" t="s">
        <v>56</v>
      </c>
      <c r="AF70" s="1" t="s">
        <v>54</v>
      </c>
    </row>
    <row r="71" spans="1:32" x14ac:dyDescent="0.2">
      <c r="A71" s="1" t="s">
        <v>73</v>
      </c>
      <c r="C71" s="29">
        <v>44629.7</v>
      </c>
      <c r="D71" s="29"/>
      <c r="E71" s="1">
        <f t="shared" si="8"/>
        <v>156.9983199362284</v>
      </c>
      <c r="F71" s="1">
        <f t="shared" si="6"/>
        <v>157</v>
      </c>
      <c r="G71" s="1">
        <f t="shared" si="9"/>
        <v>-3.0422000054386444E-3</v>
      </c>
      <c r="I71" s="1">
        <f t="shared" si="11"/>
        <v>-3.0422000054386444E-3</v>
      </c>
      <c r="Q71" s="56">
        <f t="shared" si="10"/>
        <v>29611.199999999997</v>
      </c>
      <c r="AA71" s="1" t="s">
        <v>59</v>
      </c>
      <c r="AB71" s="1">
        <v>7</v>
      </c>
      <c r="AD71" s="1" t="s">
        <v>56</v>
      </c>
      <c r="AF71" s="1" t="s">
        <v>54</v>
      </c>
    </row>
    <row r="72" spans="1:32" x14ac:dyDescent="0.2">
      <c r="A72" s="1" t="s">
        <v>74</v>
      </c>
      <c r="C72" s="29">
        <v>45022.641000000003</v>
      </c>
      <c r="D72" s="29"/>
      <c r="E72" s="1">
        <f t="shared" si="8"/>
        <v>374.00112637501462</v>
      </c>
      <c r="F72" s="1">
        <f t="shared" si="6"/>
        <v>374</v>
      </c>
      <c r="G72" s="1">
        <f t="shared" si="9"/>
        <v>2.0396000036271289E-3</v>
      </c>
      <c r="I72" s="1">
        <f t="shared" si="11"/>
        <v>2.0396000036271289E-3</v>
      </c>
      <c r="Q72" s="56">
        <f t="shared" si="10"/>
        <v>30004.141000000003</v>
      </c>
      <c r="AA72" s="1" t="s">
        <v>59</v>
      </c>
      <c r="AB72" s="1">
        <v>10</v>
      </c>
      <c r="AD72" s="1" t="s">
        <v>56</v>
      </c>
      <c r="AF72" s="1" t="s">
        <v>54</v>
      </c>
    </row>
    <row r="73" spans="1:32" x14ac:dyDescent="0.2">
      <c r="A73" s="1" t="s">
        <v>75</v>
      </c>
      <c r="C73" s="29">
        <v>45082.398999999998</v>
      </c>
      <c r="D73" s="29"/>
      <c r="E73" s="1">
        <f t="shared" si="8"/>
        <v>407.0026551214869</v>
      </c>
      <c r="F73" s="1">
        <f t="shared" si="6"/>
        <v>407</v>
      </c>
      <c r="G73" s="1">
        <f t="shared" si="9"/>
        <v>4.80779999634251E-3</v>
      </c>
      <c r="I73" s="1">
        <f t="shared" si="11"/>
        <v>4.80779999634251E-3</v>
      </c>
      <c r="Q73" s="56">
        <f t="shared" si="10"/>
        <v>30063.898999999998</v>
      </c>
      <c r="AA73" s="1" t="s">
        <v>59</v>
      </c>
      <c r="AB73" s="1">
        <v>6</v>
      </c>
      <c r="AD73" s="1" t="s">
        <v>56</v>
      </c>
      <c r="AF73" s="1" t="s">
        <v>54</v>
      </c>
    </row>
    <row r="74" spans="1:32" x14ac:dyDescent="0.2">
      <c r="A74" s="1" t="s">
        <v>76</v>
      </c>
      <c r="C74" s="29">
        <v>45111.373</v>
      </c>
      <c r="D74" s="29"/>
      <c r="E74" s="1">
        <f t="shared" si="8"/>
        <v>423.00363062100899</v>
      </c>
      <c r="F74" s="1">
        <f t="shared" si="6"/>
        <v>423</v>
      </c>
      <c r="G74" s="1">
        <f t="shared" si="9"/>
        <v>6.5742000006139278E-3</v>
      </c>
      <c r="I74" s="1">
        <f t="shared" si="11"/>
        <v>6.5742000006139278E-3</v>
      </c>
      <c r="Q74" s="56">
        <f t="shared" si="10"/>
        <v>30092.873</v>
      </c>
      <c r="AA74" s="1" t="s">
        <v>59</v>
      </c>
      <c r="AF74" s="1" t="s">
        <v>61</v>
      </c>
    </row>
    <row r="75" spans="1:32" x14ac:dyDescent="0.2">
      <c r="A75" s="1" t="s">
        <v>77</v>
      </c>
      <c r="C75" s="29">
        <v>45111.387999999999</v>
      </c>
      <c r="D75" s="29"/>
      <c r="E75" s="1">
        <f t="shared" si="8"/>
        <v>423.01191441449572</v>
      </c>
      <c r="F75" s="1">
        <f t="shared" si="6"/>
        <v>423</v>
      </c>
      <c r="G75" s="1">
        <f t="shared" si="9"/>
        <v>2.1574200000031851E-2</v>
      </c>
      <c r="I75" s="1">
        <f t="shared" si="11"/>
        <v>2.1574200000031851E-2</v>
      </c>
      <c r="Q75" s="56">
        <f t="shared" si="10"/>
        <v>30092.887999999999</v>
      </c>
      <c r="AA75" s="1" t="s">
        <v>59</v>
      </c>
      <c r="AB75" s="1">
        <v>6</v>
      </c>
      <c r="AD75" s="1" t="s">
        <v>56</v>
      </c>
      <c r="AF75" s="1" t="s">
        <v>54</v>
      </c>
    </row>
    <row r="76" spans="1:32" x14ac:dyDescent="0.2">
      <c r="A76" s="1" t="s">
        <v>77</v>
      </c>
      <c r="C76" s="29">
        <v>45140.349000000002</v>
      </c>
      <c r="D76" s="29"/>
      <c r="E76" s="1">
        <f t="shared" si="8"/>
        <v>439.00571062632963</v>
      </c>
      <c r="F76" s="1">
        <f t="shared" ref="F76:F104" si="12">ROUND(2*E76,0)/2</f>
        <v>439</v>
      </c>
      <c r="G76" s="1">
        <f t="shared" si="9"/>
        <v>1.0340599998016842E-2</v>
      </c>
      <c r="I76" s="1">
        <f t="shared" si="11"/>
        <v>1.0340599998016842E-2</v>
      </c>
      <c r="Q76" s="56">
        <f t="shared" si="10"/>
        <v>30121.849000000002</v>
      </c>
      <c r="AA76" s="1" t="s">
        <v>59</v>
      </c>
      <c r="AB76" s="1">
        <v>7</v>
      </c>
      <c r="AD76" s="1" t="s">
        <v>78</v>
      </c>
      <c r="AF76" s="1" t="s">
        <v>54</v>
      </c>
    </row>
    <row r="77" spans="1:32" x14ac:dyDescent="0.2">
      <c r="A77" s="1" t="s">
        <v>79</v>
      </c>
      <c r="C77" s="29">
        <v>45357.631999999998</v>
      </c>
      <c r="D77" s="29"/>
      <c r="E77" s="1">
        <f t="shared" si="8"/>
        <v>559.00087730895416</v>
      </c>
      <c r="F77" s="1">
        <f t="shared" si="12"/>
        <v>559</v>
      </c>
      <c r="G77" s="1">
        <f t="shared" si="9"/>
        <v>1.5885999964666553E-3</v>
      </c>
      <c r="I77" s="1">
        <f t="shared" si="11"/>
        <v>1.5885999964666553E-3</v>
      </c>
      <c r="Q77" s="56">
        <f t="shared" si="10"/>
        <v>30339.131999999998</v>
      </c>
      <c r="AA77" s="1" t="s">
        <v>59</v>
      </c>
      <c r="AB77" s="1">
        <v>6</v>
      </c>
      <c r="AD77" s="1" t="s">
        <v>56</v>
      </c>
      <c r="AF77" s="1" t="s">
        <v>54</v>
      </c>
    </row>
    <row r="78" spans="1:32" x14ac:dyDescent="0.2">
      <c r="A78" s="1" t="s">
        <v>80</v>
      </c>
      <c r="C78" s="29">
        <v>45406.525000000001</v>
      </c>
      <c r="D78" s="29"/>
      <c r="E78" s="1">
        <f t="shared" si="8"/>
        <v>586.00217830633596</v>
      </c>
      <c r="F78" s="1">
        <f t="shared" si="12"/>
        <v>586</v>
      </c>
      <c r="G78" s="1">
        <f t="shared" si="9"/>
        <v>3.9443999994546175E-3</v>
      </c>
      <c r="I78" s="1">
        <f t="shared" si="11"/>
        <v>3.9443999994546175E-3</v>
      </c>
      <c r="Q78" s="56">
        <f t="shared" si="10"/>
        <v>30388.025000000001</v>
      </c>
      <c r="AA78" s="1" t="s">
        <v>59</v>
      </c>
      <c r="AB78" s="1">
        <v>6</v>
      </c>
      <c r="AD78" s="1" t="s">
        <v>56</v>
      </c>
      <c r="AF78" s="1" t="s">
        <v>54</v>
      </c>
    </row>
    <row r="79" spans="1:32" x14ac:dyDescent="0.2">
      <c r="A79" s="1" t="s">
        <v>81</v>
      </c>
      <c r="C79" s="29">
        <v>45464.472000000002</v>
      </c>
      <c r="D79" s="29"/>
      <c r="E79" s="1">
        <f t="shared" si="8"/>
        <v>618.00357705247893</v>
      </c>
      <c r="F79" s="1">
        <f t="shared" si="12"/>
        <v>618</v>
      </c>
      <c r="G79" s="1">
        <f t="shared" si="9"/>
        <v>6.4772000041557476E-3</v>
      </c>
      <c r="I79" s="1">
        <f t="shared" si="11"/>
        <v>6.4772000041557476E-3</v>
      </c>
      <c r="Q79" s="56">
        <f t="shared" si="10"/>
        <v>30445.972000000002</v>
      </c>
      <c r="AA79" s="1" t="s">
        <v>59</v>
      </c>
      <c r="AB79" s="1">
        <v>6</v>
      </c>
      <c r="AD79" s="1" t="s">
        <v>56</v>
      </c>
      <c r="AF79" s="1" t="s">
        <v>54</v>
      </c>
    </row>
    <row r="80" spans="1:32" x14ac:dyDescent="0.2">
      <c r="A80" s="1" t="s">
        <v>82</v>
      </c>
      <c r="C80" s="29">
        <v>46172.476999999999</v>
      </c>
      <c r="D80" s="29"/>
      <c r="E80" s="1">
        <f t="shared" si="8"/>
        <v>1009.001390904151</v>
      </c>
      <c r="F80" s="1">
        <f t="shared" si="12"/>
        <v>1009</v>
      </c>
      <c r="G80" s="1">
        <f t="shared" si="9"/>
        <v>2.5185999984387308E-3</v>
      </c>
      <c r="I80" s="1">
        <f t="shared" si="11"/>
        <v>2.5185999984387308E-3</v>
      </c>
      <c r="Q80" s="56">
        <f t="shared" si="10"/>
        <v>31153.976999999999</v>
      </c>
      <c r="AA80" s="1" t="s">
        <v>59</v>
      </c>
      <c r="AB80" s="1">
        <v>17</v>
      </c>
      <c r="AD80" s="1" t="s">
        <v>53</v>
      </c>
      <c r="AF80" s="1" t="s">
        <v>54</v>
      </c>
    </row>
    <row r="81" spans="1:32" x14ac:dyDescent="0.2">
      <c r="A81" s="1" t="s">
        <v>83</v>
      </c>
      <c r="C81" s="29">
        <v>46938.432999999997</v>
      </c>
      <c r="D81" s="29"/>
      <c r="E81" s="1">
        <f t="shared" si="8"/>
        <v>1432.002812513563</v>
      </c>
      <c r="F81" s="1">
        <f t="shared" si="12"/>
        <v>1432</v>
      </c>
      <c r="G81" s="1">
        <f t="shared" si="9"/>
        <v>5.0927999982377514E-3</v>
      </c>
      <c r="I81" s="1">
        <f t="shared" si="11"/>
        <v>5.0927999982377514E-3</v>
      </c>
      <c r="Q81" s="56">
        <f t="shared" si="10"/>
        <v>31919.932999999997</v>
      </c>
      <c r="AA81" s="1" t="s">
        <v>59</v>
      </c>
      <c r="AB81" s="1">
        <v>10</v>
      </c>
      <c r="AD81" s="1" t="s">
        <v>53</v>
      </c>
      <c r="AF81" s="1" t="s">
        <v>54</v>
      </c>
    </row>
    <row r="82" spans="1:32" x14ac:dyDescent="0.2">
      <c r="A82" s="1" t="s">
        <v>84</v>
      </c>
      <c r="C82" s="29">
        <v>47192.565999999999</v>
      </c>
      <c r="D82" s="29"/>
      <c r="E82" s="1">
        <f t="shared" si="8"/>
        <v>1572.3484985292944</v>
      </c>
      <c r="F82" s="1">
        <f t="shared" si="12"/>
        <v>1572.5</v>
      </c>
      <c r="Q82" s="56">
        <f t="shared" si="10"/>
        <v>32174.065999999999</v>
      </c>
      <c r="U82" s="13">
        <v>-0.29147375000320608</v>
      </c>
      <c r="V82" s="4" t="s">
        <v>85</v>
      </c>
      <c r="AA82" s="1" t="s">
        <v>59</v>
      </c>
      <c r="AB82" s="1">
        <v>6</v>
      </c>
      <c r="AD82" s="1" t="s">
        <v>56</v>
      </c>
      <c r="AF82" s="1" t="s">
        <v>54</v>
      </c>
    </row>
    <row r="83" spans="1:32" x14ac:dyDescent="0.2">
      <c r="A83" s="1" t="s">
        <v>86</v>
      </c>
      <c r="C83" s="29">
        <v>48001.362999999998</v>
      </c>
      <c r="D83" s="29"/>
      <c r="E83" s="1">
        <f t="shared" si="8"/>
        <v>2019.008986590525</v>
      </c>
      <c r="F83" s="1">
        <f t="shared" si="12"/>
        <v>2019</v>
      </c>
      <c r="G83" s="1">
        <f t="shared" ref="G83:G103" si="13">+C83-(C$7+F83*C$8)</f>
        <v>1.6272599998046644E-2</v>
      </c>
      <c r="I83" s="1">
        <f>+G83</f>
        <v>1.6272599998046644E-2</v>
      </c>
      <c r="O83" s="1">
        <f t="shared" ref="O83:O103" ca="1" si="14">+C$11+C$12*F83</f>
        <v>3.2544324568974242E-3</v>
      </c>
      <c r="Q83" s="56">
        <f t="shared" si="10"/>
        <v>32982.862999999998</v>
      </c>
      <c r="AA83" s="1" t="s">
        <v>59</v>
      </c>
      <c r="AB83" s="1">
        <v>6</v>
      </c>
      <c r="AD83" s="1" t="s">
        <v>56</v>
      </c>
      <c r="AF83" s="1" t="s">
        <v>54</v>
      </c>
    </row>
    <row r="84" spans="1:32" x14ac:dyDescent="0.2">
      <c r="A84" s="1" t="s">
        <v>86</v>
      </c>
      <c r="C84" s="29">
        <v>48010.411999999997</v>
      </c>
      <c r="D84" s="29"/>
      <c r="E84" s="1">
        <f t="shared" ref="E84:E103" si="15">+(C84-C$7)/C$8</f>
        <v>2024.0063230747919</v>
      </c>
      <c r="F84" s="1">
        <f t="shared" si="12"/>
        <v>2024</v>
      </c>
      <c r="G84" s="1">
        <f t="shared" si="13"/>
        <v>1.1449599995103199E-2</v>
      </c>
      <c r="I84" s="1">
        <f t="shared" ref="I84:I96" si="16">+G84</f>
        <v>1.1449599995103199E-2</v>
      </c>
      <c r="O84" s="1">
        <f t="shared" ca="1" si="14"/>
        <v>3.2761967195284285E-3</v>
      </c>
      <c r="Q84" s="56">
        <f t="shared" ref="Q84:Q103" si="17">+C84-15018.5</f>
        <v>32991.911999999997</v>
      </c>
      <c r="AA84" s="1" t="s">
        <v>59</v>
      </c>
      <c r="AB84" s="1">
        <v>9</v>
      </c>
      <c r="AD84" s="1" t="s">
        <v>53</v>
      </c>
      <c r="AF84" s="1" t="s">
        <v>54</v>
      </c>
    </row>
    <row r="85" spans="1:32" x14ac:dyDescent="0.2">
      <c r="A85" s="1" t="s">
        <v>87</v>
      </c>
      <c r="C85" s="29">
        <v>48314.622000000003</v>
      </c>
      <c r="D85" s="29">
        <v>4.0000000000000001E-3</v>
      </c>
      <c r="E85" s="1">
        <f t="shared" si="15"/>
        <v>2192.007177520481</v>
      </c>
      <c r="F85" s="1">
        <f t="shared" si="12"/>
        <v>2192</v>
      </c>
      <c r="G85" s="1">
        <f t="shared" si="13"/>
        <v>1.2996800003747921E-2</v>
      </c>
      <c r="I85" s="1">
        <f t="shared" si="16"/>
        <v>1.2996800003747921E-2</v>
      </c>
      <c r="O85" s="1">
        <f t="shared" ca="1" si="14"/>
        <v>4.0074759439301787E-3</v>
      </c>
      <c r="Q85" s="56">
        <f t="shared" si="17"/>
        <v>33296.122000000003</v>
      </c>
      <c r="AA85" s="1" t="s">
        <v>59</v>
      </c>
      <c r="AB85" s="1">
        <v>7</v>
      </c>
      <c r="AD85" s="1" t="s">
        <v>56</v>
      </c>
      <c r="AF85" s="1" t="s">
        <v>54</v>
      </c>
    </row>
    <row r="86" spans="1:32" x14ac:dyDescent="0.2">
      <c r="A86" s="1" t="s">
        <v>88</v>
      </c>
      <c r="C86" s="29">
        <v>49395.644</v>
      </c>
      <c r="D86" s="29"/>
      <c r="E86" s="1">
        <f t="shared" si="15"/>
        <v>2789.0047110485812</v>
      </c>
      <c r="F86" s="1">
        <f t="shared" si="12"/>
        <v>2789</v>
      </c>
      <c r="G86" s="1">
        <f t="shared" si="13"/>
        <v>8.5305999964475632E-3</v>
      </c>
      <c r="I86" s="1">
        <f t="shared" si="16"/>
        <v>8.5305999964475632E-3</v>
      </c>
      <c r="O86" s="1">
        <f t="shared" ca="1" si="14"/>
        <v>6.6061289020721177E-3</v>
      </c>
      <c r="Q86" s="56">
        <f t="shared" si="17"/>
        <v>34377.144</v>
      </c>
      <c r="AA86" s="1" t="s">
        <v>59</v>
      </c>
      <c r="AB86" s="1">
        <v>6</v>
      </c>
      <c r="AD86" s="1" t="s">
        <v>56</v>
      </c>
      <c r="AF86" s="1" t="s">
        <v>54</v>
      </c>
    </row>
    <row r="87" spans="1:32" x14ac:dyDescent="0.2">
      <c r="A87" s="1" t="s">
        <v>89</v>
      </c>
      <c r="C87" s="29">
        <v>49779.527000000002</v>
      </c>
      <c r="D87" s="29">
        <v>3.0000000000000001E-3</v>
      </c>
      <c r="E87" s="1">
        <f t="shared" si="15"/>
        <v>3001.0052107270053</v>
      </c>
      <c r="F87" s="1">
        <f t="shared" si="12"/>
        <v>3001</v>
      </c>
      <c r="G87" s="1">
        <f t="shared" si="13"/>
        <v>9.4354000029852614E-3</v>
      </c>
      <c r="I87" s="1">
        <f t="shared" si="16"/>
        <v>9.4354000029852614E-3</v>
      </c>
      <c r="O87" s="1">
        <f t="shared" ca="1" si="14"/>
        <v>7.5289336376267082E-3</v>
      </c>
      <c r="Q87" s="56">
        <f t="shared" si="17"/>
        <v>34761.027000000002</v>
      </c>
      <c r="AA87" s="1" t="s">
        <v>59</v>
      </c>
      <c r="AB87" s="1">
        <v>8</v>
      </c>
      <c r="AD87" s="1" t="s">
        <v>56</v>
      </c>
      <c r="AF87" s="1" t="s">
        <v>54</v>
      </c>
    </row>
    <row r="88" spans="1:32" x14ac:dyDescent="0.2">
      <c r="A88" s="23" t="s">
        <v>90</v>
      </c>
      <c r="B88" s="24" t="s">
        <v>44</v>
      </c>
      <c r="C88" s="25">
        <v>49861.006999999998</v>
      </c>
      <c r="D88" s="29"/>
      <c r="E88" s="27">
        <f t="shared" si="15"/>
        <v>3046.0027769484768</v>
      </c>
      <c r="F88" s="1">
        <f t="shared" si="12"/>
        <v>3046</v>
      </c>
      <c r="G88" s="1">
        <f t="shared" si="13"/>
        <v>5.0283999953535385E-3</v>
      </c>
      <c r="I88" s="1">
        <f t="shared" si="16"/>
        <v>5.0283999953535385E-3</v>
      </c>
      <c r="O88" s="1">
        <f t="shared" ca="1" si="14"/>
        <v>7.7248120013057482E-3</v>
      </c>
      <c r="Q88" s="56">
        <f t="shared" si="17"/>
        <v>34842.506999999998</v>
      </c>
    </row>
    <row r="89" spans="1:32" x14ac:dyDescent="0.2">
      <c r="A89" s="1" t="s">
        <v>91</v>
      </c>
      <c r="C89" s="29">
        <v>49866.446000000004</v>
      </c>
      <c r="D89" s="29">
        <v>1E-3</v>
      </c>
      <c r="E89" s="1">
        <f t="shared" si="15"/>
        <v>3049.0064804668718</v>
      </c>
      <c r="F89" s="1">
        <f t="shared" si="12"/>
        <v>3049</v>
      </c>
      <c r="G89" s="1">
        <f t="shared" si="13"/>
        <v>1.1734600004274398E-2</v>
      </c>
      <c r="I89" s="1">
        <f t="shared" si="16"/>
        <v>1.1734600004274398E-2</v>
      </c>
      <c r="O89" s="1">
        <f t="shared" ca="1" si="14"/>
        <v>7.7378705588843511E-3</v>
      </c>
      <c r="Q89" s="56">
        <f t="shared" si="17"/>
        <v>34847.946000000004</v>
      </c>
      <c r="AA89" s="1" t="s">
        <v>59</v>
      </c>
      <c r="AB89" s="1">
        <v>8</v>
      </c>
      <c r="AD89" s="1" t="s">
        <v>92</v>
      </c>
      <c r="AF89" s="1" t="s">
        <v>54</v>
      </c>
    </row>
    <row r="90" spans="1:32" x14ac:dyDescent="0.2">
      <c r="A90" s="23" t="s">
        <v>90</v>
      </c>
      <c r="B90" s="24" t="s">
        <v>44</v>
      </c>
      <c r="C90" s="25">
        <v>49870.065999999999</v>
      </c>
      <c r="D90" s="29"/>
      <c r="E90" s="27">
        <f t="shared" si="15"/>
        <v>3051.0056359617361</v>
      </c>
      <c r="F90" s="1">
        <f t="shared" si="12"/>
        <v>3051</v>
      </c>
      <c r="G90" s="1">
        <f t="shared" si="13"/>
        <v>1.0205400001723319E-2</v>
      </c>
      <c r="I90" s="1">
        <f t="shared" si="16"/>
        <v>1.0205400001723319E-2</v>
      </c>
      <c r="O90" s="1">
        <f t="shared" ca="1" si="14"/>
        <v>7.7465762639367525E-3</v>
      </c>
      <c r="Q90" s="56">
        <f t="shared" si="17"/>
        <v>34851.565999999999</v>
      </c>
    </row>
    <row r="91" spans="1:32" x14ac:dyDescent="0.2">
      <c r="A91" s="1" t="s">
        <v>93</v>
      </c>
      <c r="C91" s="29">
        <v>50201.43</v>
      </c>
      <c r="D91" s="29">
        <v>8.0000000000000002E-3</v>
      </c>
      <c r="E91" s="1">
        <f t="shared" si="15"/>
        <v>3234.0023656305189</v>
      </c>
      <c r="F91" s="1">
        <f t="shared" si="12"/>
        <v>3234</v>
      </c>
      <c r="G91" s="1">
        <f t="shared" si="13"/>
        <v>4.2835999993258156E-3</v>
      </c>
      <c r="I91" s="1">
        <f t="shared" si="16"/>
        <v>4.2835999993258156E-3</v>
      </c>
      <c r="O91" s="1">
        <f t="shared" ca="1" si="14"/>
        <v>8.5431482762315172E-3</v>
      </c>
      <c r="Q91" s="56">
        <f t="shared" si="17"/>
        <v>35182.93</v>
      </c>
      <c r="AA91" s="1" t="s">
        <v>59</v>
      </c>
      <c r="AB91" s="1">
        <v>5</v>
      </c>
      <c r="AD91" s="1" t="s">
        <v>56</v>
      </c>
      <c r="AF91" s="1" t="s">
        <v>54</v>
      </c>
    </row>
    <row r="92" spans="1:32" x14ac:dyDescent="0.2">
      <c r="A92" s="1" t="s">
        <v>94</v>
      </c>
      <c r="C92" s="29">
        <v>50525.563000000002</v>
      </c>
      <c r="D92" s="29">
        <v>3.0000000000000001E-3</v>
      </c>
      <c r="E92" s="1">
        <f t="shared" si="15"/>
        <v>3413.0057545856603</v>
      </c>
      <c r="F92" s="1">
        <f t="shared" si="12"/>
        <v>3413</v>
      </c>
      <c r="G92" s="1">
        <f t="shared" si="13"/>
        <v>1.0420200000226032E-2</v>
      </c>
      <c r="I92" s="1">
        <f t="shared" si="16"/>
        <v>1.0420200000226032E-2</v>
      </c>
      <c r="O92" s="1">
        <f t="shared" ca="1" si="14"/>
        <v>9.3223088784214793E-3</v>
      </c>
      <c r="Q92" s="56">
        <f t="shared" si="17"/>
        <v>35507.063000000002</v>
      </c>
      <c r="AA92" s="1" t="s">
        <v>59</v>
      </c>
      <c r="AB92" s="1">
        <v>8</v>
      </c>
      <c r="AD92" s="1" t="s">
        <v>56</v>
      </c>
      <c r="AF92" s="1" t="s">
        <v>54</v>
      </c>
    </row>
    <row r="93" spans="1:32" x14ac:dyDescent="0.2">
      <c r="A93" s="27" t="s">
        <v>95</v>
      </c>
      <c r="B93" s="27"/>
      <c r="C93" s="26">
        <v>51184.68</v>
      </c>
      <c r="D93" s="26">
        <v>3.0000000000000001E-3</v>
      </c>
      <c r="E93" s="27">
        <f t="shared" si="15"/>
        <v>3777.0050287044492</v>
      </c>
      <c r="F93" s="1">
        <f t="shared" si="12"/>
        <v>3777</v>
      </c>
      <c r="G93" s="1">
        <f t="shared" si="13"/>
        <v>9.1058000034536235E-3</v>
      </c>
      <c r="I93" s="1">
        <f t="shared" si="16"/>
        <v>9.1058000034536235E-3</v>
      </c>
      <c r="O93" s="1">
        <f t="shared" ca="1" si="14"/>
        <v>1.0906747197958606E-2</v>
      </c>
      <c r="Q93" s="56">
        <f t="shared" si="17"/>
        <v>36166.18</v>
      </c>
      <c r="AA93" s="1" t="s">
        <v>59</v>
      </c>
      <c r="AB93" s="1">
        <v>11</v>
      </c>
      <c r="AD93" s="1" t="s">
        <v>96</v>
      </c>
      <c r="AF93" s="1" t="s">
        <v>61</v>
      </c>
    </row>
    <row r="94" spans="1:32" x14ac:dyDescent="0.2">
      <c r="A94" s="23" t="s">
        <v>97</v>
      </c>
      <c r="B94" s="24" t="s">
        <v>44</v>
      </c>
      <c r="C94" s="25">
        <v>51606.588000000003</v>
      </c>
      <c r="D94" s="29"/>
      <c r="E94" s="27">
        <f t="shared" si="15"/>
        <v>4010.0049448724608</v>
      </c>
      <c r="F94" s="1">
        <f t="shared" si="12"/>
        <v>4010</v>
      </c>
      <c r="G94" s="1">
        <f t="shared" si="13"/>
        <v>8.9540000044507906E-3</v>
      </c>
      <c r="I94" s="1">
        <f t="shared" si="16"/>
        <v>8.9540000044507906E-3</v>
      </c>
      <c r="O94" s="1">
        <f t="shared" ca="1" si="14"/>
        <v>1.1920961836563417E-2</v>
      </c>
      <c r="Q94" s="56">
        <f t="shared" si="17"/>
        <v>36588.088000000003</v>
      </c>
    </row>
    <row r="95" spans="1:32" x14ac:dyDescent="0.2">
      <c r="A95" s="23" t="s">
        <v>98</v>
      </c>
      <c r="B95" s="24" t="s">
        <v>44</v>
      </c>
      <c r="C95" s="25">
        <v>52042.991999999998</v>
      </c>
      <c r="D95" s="29"/>
      <c r="E95" s="27">
        <f t="shared" si="15"/>
        <v>4251.0103190663203</v>
      </c>
      <c r="F95" s="1">
        <f t="shared" si="12"/>
        <v>4251</v>
      </c>
      <c r="G95" s="1">
        <f t="shared" si="13"/>
        <v>1.8685399998503271E-2</v>
      </c>
      <c r="I95" s="1">
        <f t="shared" si="16"/>
        <v>1.8685399998503271E-2</v>
      </c>
      <c r="O95" s="1">
        <f t="shared" ca="1" si="14"/>
        <v>1.2969999295377833E-2</v>
      </c>
      <c r="Q95" s="56">
        <f t="shared" si="17"/>
        <v>37024.491999999998</v>
      </c>
    </row>
    <row r="96" spans="1:32" x14ac:dyDescent="0.2">
      <c r="A96" s="23" t="s">
        <v>99</v>
      </c>
      <c r="B96" s="24" t="s">
        <v>44</v>
      </c>
      <c r="C96" s="25">
        <v>52323.656000000003</v>
      </c>
      <c r="D96" s="29"/>
      <c r="E96" s="27">
        <f t="shared" si="15"/>
        <v>4406.0078267489889</v>
      </c>
      <c r="F96" s="1">
        <f t="shared" si="12"/>
        <v>4406</v>
      </c>
      <c r="G96" s="1">
        <f t="shared" si="13"/>
        <v>1.4172399998642504E-2</v>
      </c>
      <c r="I96" s="1">
        <f t="shared" si="16"/>
        <v>1.4172399998642504E-2</v>
      </c>
      <c r="O96" s="1">
        <f t="shared" ca="1" si="14"/>
        <v>1.3644691436938972E-2</v>
      </c>
      <c r="Q96" s="56">
        <f t="shared" si="17"/>
        <v>37305.156000000003</v>
      </c>
    </row>
    <row r="97" spans="1:17" x14ac:dyDescent="0.2">
      <c r="A97" s="30" t="s">
        <v>100</v>
      </c>
      <c r="B97" s="31" t="s">
        <v>44</v>
      </c>
      <c r="C97" s="26">
        <v>52658.644999999997</v>
      </c>
      <c r="D97" s="26">
        <v>2E-3</v>
      </c>
      <c r="E97" s="27">
        <f t="shared" si="15"/>
        <v>4591.0064731771299</v>
      </c>
      <c r="F97" s="1">
        <f t="shared" si="12"/>
        <v>4591</v>
      </c>
      <c r="G97" s="1">
        <f t="shared" si="13"/>
        <v>1.1721399998350535E-2</v>
      </c>
      <c r="K97" s="1">
        <f>+G97</f>
        <v>1.1721399998350535E-2</v>
      </c>
      <c r="O97" s="1">
        <f t="shared" ca="1" si="14"/>
        <v>1.4449969154286139E-2</v>
      </c>
      <c r="Q97" s="56">
        <f t="shared" si="17"/>
        <v>37640.144999999997</v>
      </c>
    </row>
    <row r="98" spans="1:17" x14ac:dyDescent="0.2">
      <c r="A98" s="32" t="s">
        <v>101</v>
      </c>
      <c r="B98" s="33" t="s">
        <v>44</v>
      </c>
      <c r="C98" s="26">
        <v>53060.635000000002</v>
      </c>
      <c r="D98" s="26">
        <v>4.0000000000000001E-3</v>
      </c>
      <c r="E98" s="27">
        <f t="shared" si="15"/>
        <v>4813.0066161001832</v>
      </c>
      <c r="F98" s="1">
        <f t="shared" si="12"/>
        <v>4813</v>
      </c>
      <c r="G98" s="1">
        <f t="shared" si="13"/>
        <v>1.1980200004472863E-2</v>
      </c>
      <c r="K98" s="1">
        <f>+G98</f>
        <v>1.1980200004472863E-2</v>
      </c>
      <c r="O98" s="1">
        <f t="shared" ca="1" si="14"/>
        <v>1.541630241510274E-2</v>
      </c>
      <c r="Q98" s="56">
        <f t="shared" si="17"/>
        <v>38042.135000000002</v>
      </c>
    </row>
    <row r="99" spans="1:17" x14ac:dyDescent="0.2">
      <c r="A99" s="30" t="s">
        <v>102</v>
      </c>
      <c r="B99" s="31" t="s">
        <v>44</v>
      </c>
      <c r="C99" s="26">
        <v>53480.727899999998</v>
      </c>
      <c r="D99" s="26">
        <v>3.0000000000000001E-3</v>
      </c>
      <c r="E99" s="27">
        <f t="shared" si="15"/>
        <v>5045.0041380309722</v>
      </c>
      <c r="F99" s="1">
        <f t="shared" si="12"/>
        <v>5045</v>
      </c>
      <c r="G99" s="1">
        <f t="shared" si="13"/>
        <v>7.4929999973392114E-3</v>
      </c>
      <c r="K99" s="1">
        <f>+G99</f>
        <v>7.4929999973392114E-3</v>
      </c>
      <c r="O99" s="1">
        <f t="shared" ca="1" si="14"/>
        <v>1.6426164201181349E-2</v>
      </c>
      <c r="Q99" s="56">
        <f t="shared" si="17"/>
        <v>38462.227899999998</v>
      </c>
    </row>
    <row r="100" spans="1:17" x14ac:dyDescent="0.2">
      <c r="A100" s="23" t="s">
        <v>103</v>
      </c>
      <c r="B100" s="24" t="s">
        <v>44</v>
      </c>
      <c r="C100" s="25">
        <v>53752.345999999998</v>
      </c>
      <c r="D100" s="29"/>
      <c r="E100" s="27">
        <f t="shared" si="15"/>
        <v>5195.0060212133576</v>
      </c>
      <c r="F100" s="1">
        <f t="shared" si="12"/>
        <v>5195</v>
      </c>
      <c r="G100" s="1">
        <f t="shared" si="13"/>
        <v>1.0902999994868878E-2</v>
      </c>
      <c r="I100" s="1">
        <f>+G100</f>
        <v>1.0902999994868878E-2</v>
      </c>
      <c r="O100" s="1">
        <f t="shared" ca="1" si="14"/>
        <v>1.7079092080111484E-2</v>
      </c>
      <c r="Q100" s="56">
        <f t="shared" si="17"/>
        <v>38733.845999999998</v>
      </c>
    </row>
    <row r="101" spans="1:17" x14ac:dyDescent="0.2">
      <c r="A101" s="23" t="s">
        <v>104</v>
      </c>
      <c r="B101" s="24" t="s">
        <v>44</v>
      </c>
      <c r="C101" s="25">
        <v>54165.202400000002</v>
      </c>
      <c r="D101" s="29"/>
      <c r="E101" s="27">
        <f t="shared" si="15"/>
        <v>5423.0071650395648</v>
      </c>
      <c r="F101" s="1">
        <f t="shared" si="12"/>
        <v>5423</v>
      </c>
      <c r="G101" s="1">
        <f t="shared" si="13"/>
        <v>1.2974200006283354E-2</v>
      </c>
      <c r="K101" s="1">
        <f t="shared" ref="K101:K106" si="18">+G101</f>
        <v>1.2974200006283354E-2</v>
      </c>
      <c r="O101" s="1">
        <f t="shared" ca="1" si="14"/>
        <v>1.8071542456085287E-2</v>
      </c>
      <c r="Q101" s="56">
        <f t="shared" si="17"/>
        <v>39146.702400000002</v>
      </c>
    </row>
    <row r="102" spans="1:17" x14ac:dyDescent="0.2">
      <c r="A102" s="34" t="s">
        <v>105</v>
      </c>
      <c r="B102" s="35" t="s">
        <v>44</v>
      </c>
      <c r="C102" s="36">
        <v>55311.415300000001</v>
      </c>
      <c r="D102" s="36">
        <v>2.0000000000000001E-4</v>
      </c>
      <c r="E102" s="27">
        <f t="shared" si="15"/>
        <v>6056.0065620898486</v>
      </c>
      <c r="F102" s="1">
        <f t="shared" si="12"/>
        <v>6056</v>
      </c>
      <c r="G102" s="1">
        <f t="shared" si="13"/>
        <v>1.1882400001923088E-2</v>
      </c>
      <c r="K102" s="1">
        <f t="shared" si="18"/>
        <v>1.1882400001923088E-2</v>
      </c>
      <c r="O102" s="1">
        <f t="shared" ca="1" si="14"/>
        <v>2.0826898105170459E-2</v>
      </c>
      <c r="Q102" s="56">
        <f t="shared" si="17"/>
        <v>40292.915300000001</v>
      </c>
    </row>
    <row r="103" spans="1:17" x14ac:dyDescent="0.2">
      <c r="A103" s="30" t="s">
        <v>106</v>
      </c>
      <c r="B103" s="31" t="s">
        <v>44</v>
      </c>
      <c r="C103" s="26">
        <v>55979.59</v>
      </c>
      <c r="D103" s="26">
        <v>3.0000000000000001E-3</v>
      </c>
      <c r="E103" s="27">
        <f t="shared" si="15"/>
        <v>6425.0079772931258</v>
      </c>
      <c r="F103" s="1">
        <f t="shared" si="12"/>
        <v>6425</v>
      </c>
      <c r="G103" s="1">
        <f t="shared" si="13"/>
        <v>1.4444999993429519E-2</v>
      </c>
      <c r="K103" s="1">
        <f t="shared" si="18"/>
        <v>1.4444999993429519E-2</v>
      </c>
      <c r="O103" s="1">
        <f t="shared" ca="1" si="14"/>
        <v>2.243310068733859E-2</v>
      </c>
      <c r="Q103" s="56">
        <f t="shared" si="17"/>
        <v>40961.089999999997</v>
      </c>
    </row>
    <row r="104" spans="1:17" x14ac:dyDescent="0.2">
      <c r="A104" s="37" t="s">
        <v>107</v>
      </c>
      <c r="B104" s="38" t="s">
        <v>44</v>
      </c>
      <c r="C104" s="39">
        <v>57491.584999999999</v>
      </c>
      <c r="D104" s="40">
        <v>3.0000000000000001E-3</v>
      </c>
      <c r="E104" s="27">
        <f>+(C104-C$7)/C$8</f>
        <v>7260.011599519893</v>
      </c>
      <c r="F104" s="1">
        <f t="shared" si="12"/>
        <v>7260</v>
      </c>
      <c r="G104" s="1">
        <f>+C104-(C$7+F104*C$8)</f>
        <v>2.1004000001994427E-2</v>
      </c>
      <c r="K104" s="1">
        <f t="shared" si="18"/>
        <v>2.1004000001994427E-2</v>
      </c>
      <c r="O104" s="1">
        <f ca="1">+C$11+C$12*F104</f>
        <v>2.6067732546716346E-2</v>
      </c>
      <c r="Q104" s="56">
        <f>+C104-15018.5</f>
        <v>42473.084999999999</v>
      </c>
    </row>
    <row r="105" spans="1:17" x14ac:dyDescent="0.2">
      <c r="A105" s="41" t="s">
        <v>108</v>
      </c>
      <c r="B105" s="42" t="s">
        <v>44</v>
      </c>
      <c r="C105" s="43">
        <v>58657.726600000002</v>
      </c>
      <c r="D105" s="43">
        <v>4.0000000000000002E-4</v>
      </c>
      <c r="E105" s="27">
        <f>+(C105-C$7)/C$8</f>
        <v>7904.0166789211598</v>
      </c>
      <c r="F105" s="1">
        <f>ROUND(2*E105,0)/2</f>
        <v>7904</v>
      </c>
      <c r="G105" s="1">
        <f>+C105-(C$7+F105*C$8)</f>
        <v>3.0201599998690654E-2</v>
      </c>
      <c r="K105" s="1">
        <f t="shared" si="18"/>
        <v>3.0201599998690654E-2</v>
      </c>
      <c r="O105" s="1">
        <f ca="1">+C$11+C$12*F105</f>
        <v>2.8870969573589724E-2</v>
      </c>
      <c r="Q105" s="56">
        <f>+C105-15018.5</f>
        <v>43639.226600000002</v>
      </c>
    </row>
    <row r="106" spans="1:17" x14ac:dyDescent="0.2">
      <c r="A106" s="57" t="s">
        <v>416</v>
      </c>
      <c r="B106" s="58" t="s">
        <v>417</v>
      </c>
      <c r="C106" s="59">
        <v>59702.548999999999</v>
      </c>
      <c r="D106" s="60">
        <v>2E-3</v>
      </c>
      <c r="E106" s="27">
        <f>+(C106-C$7)/C$8</f>
        <v>8481.0228784017527</v>
      </c>
      <c r="F106" s="1">
        <f>ROUND(2*E106,0)/2</f>
        <v>8481</v>
      </c>
      <c r="G106" s="1">
        <f>+C106-(C$7+F106*C$8)</f>
        <v>4.1427399999520276E-2</v>
      </c>
      <c r="K106" s="1">
        <f t="shared" si="18"/>
        <v>4.1427399999520276E-2</v>
      </c>
      <c r="O106" s="1">
        <f ca="1">+C$11+C$12*F106</f>
        <v>3.1382565481207644E-2</v>
      </c>
      <c r="Q106" s="56">
        <f>+C106-15018.5</f>
        <v>44684.048999999999</v>
      </c>
    </row>
    <row r="107" spans="1:17" x14ac:dyDescent="0.2">
      <c r="A107" s="61" t="s">
        <v>418</v>
      </c>
      <c r="B107" s="62" t="s">
        <v>44</v>
      </c>
      <c r="C107" s="63">
        <v>60430.481999999844</v>
      </c>
      <c r="D107" s="61">
        <v>2E-3</v>
      </c>
      <c r="E107" s="27">
        <f>+(C107-C$7)/C$8</f>
        <v>8883.0259880272915</v>
      </c>
      <c r="F107" s="1">
        <f>ROUND(2*E107,0)/2</f>
        <v>8883</v>
      </c>
      <c r="G107" s="1">
        <f>+C107-(C$7+F107*C$8)</f>
        <v>4.7058199845196214E-2</v>
      </c>
      <c r="K107" s="1">
        <f t="shared" ref="K107" si="19">+G107</f>
        <v>4.7058199845196214E-2</v>
      </c>
      <c r="O107" s="1">
        <f ca="1">+C$11+C$12*F107</f>
        <v>3.3132412196740402E-2</v>
      </c>
      <c r="Q107" s="56">
        <f>+C107-15018.5</f>
        <v>45411.981999999844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"/>
  <sheetViews>
    <sheetView topLeftCell="A46" workbookViewId="0">
      <selection activeCell="A57" sqref="A57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4" t="s">
        <v>109</v>
      </c>
      <c r="I1" s="45" t="s">
        <v>110</v>
      </c>
      <c r="J1" s="46" t="s">
        <v>35</v>
      </c>
    </row>
    <row r="2" spans="1:16" x14ac:dyDescent="0.2">
      <c r="I2" s="47" t="s">
        <v>111</v>
      </c>
      <c r="J2" s="48" t="s">
        <v>34</v>
      </c>
    </row>
    <row r="3" spans="1:16" x14ac:dyDescent="0.2">
      <c r="A3" s="49" t="s">
        <v>112</v>
      </c>
      <c r="I3" s="47" t="s">
        <v>113</v>
      </c>
      <c r="J3" s="48" t="s">
        <v>32</v>
      </c>
    </row>
    <row r="4" spans="1:16" x14ac:dyDescent="0.2">
      <c r="I4" s="47" t="s">
        <v>114</v>
      </c>
      <c r="J4" s="48" t="s">
        <v>32</v>
      </c>
    </row>
    <row r="5" spans="1:16" x14ac:dyDescent="0.2">
      <c r="I5" s="50" t="s">
        <v>115</v>
      </c>
      <c r="J5" s="51" t="s">
        <v>33</v>
      </c>
    </row>
    <row r="11" spans="1:16" ht="12.75" customHeight="1" x14ac:dyDescent="0.2">
      <c r="A11" s="29" t="str">
        <f t="shared" ref="A11:A42" si="0">P11</f>
        <v> ORI 124 </v>
      </c>
      <c r="B11" s="16" t="str">
        <f t="shared" ref="B11:B42" si="1">IF(H11=INT(H11),"I","II")</f>
        <v>I</v>
      </c>
      <c r="C11" s="29">
        <f t="shared" ref="C11:C42" si="2">1*G11</f>
        <v>41042.569000000003</v>
      </c>
      <c r="D11" t="str">
        <f t="shared" ref="D11:D42" si="3">VLOOKUP(F11,I$1:J$5,2,FALSE)</f>
        <v>vis</v>
      </c>
      <c r="E11">
        <f>VLOOKUP(C11,Active!C$21:E$972,3,FALSE)</f>
        <v>-1824.0051743887623</v>
      </c>
      <c r="F11" s="16" t="s">
        <v>115</v>
      </c>
      <c r="G11" t="str">
        <f t="shared" ref="G11:G42" si="4">MID(I11,3,LEN(I11)-3)</f>
        <v>41042.569</v>
      </c>
      <c r="H11" s="29">
        <f t="shared" ref="H11:H42" si="5">1*K11</f>
        <v>-1824</v>
      </c>
      <c r="I11" s="52" t="s">
        <v>116</v>
      </c>
      <c r="J11" s="53" t="s">
        <v>117</v>
      </c>
      <c r="K11" s="52">
        <v>-1824</v>
      </c>
      <c r="L11" s="52" t="s">
        <v>118</v>
      </c>
      <c r="M11" s="53" t="s">
        <v>119</v>
      </c>
      <c r="N11" s="53"/>
      <c r="O11" s="54" t="s">
        <v>120</v>
      </c>
      <c r="P11" s="54" t="s">
        <v>121</v>
      </c>
    </row>
    <row r="12" spans="1:16" ht="12.75" customHeight="1" x14ac:dyDescent="0.2">
      <c r="A12" s="29" t="str">
        <f t="shared" si="0"/>
        <v> ORI 125 </v>
      </c>
      <c r="B12" s="16" t="str">
        <f t="shared" si="1"/>
        <v>I</v>
      </c>
      <c r="C12" s="29">
        <f t="shared" si="2"/>
        <v>41062.487000000001</v>
      </c>
      <c r="D12" t="str">
        <f t="shared" si="3"/>
        <v>vis</v>
      </c>
      <c r="E12">
        <f>VLOOKUP(C12,Active!C$21:E$972,3,FALSE)</f>
        <v>-1813.005401143804</v>
      </c>
      <c r="F12" s="16" t="s">
        <v>115</v>
      </c>
      <c r="G12" t="str">
        <f t="shared" si="4"/>
        <v>41062.487</v>
      </c>
      <c r="H12" s="29">
        <f t="shared" si="5"/>
        <v>-1813</v>
      </c>
      <c r="I12" s="52" t="s">
        <v>122</v>
      </c>
      <c r="J12" s="53" t="s">
        <v>123</v>
      </c>
      <c r="K12" s="52">
        <v>-1813</v>
      </c>
      <c r="L12" s="52" t="s">
        <v>124</v>
      </c>
      <c r="M12" s="53" t="s">
        <v>119</v>
      </c>
      <c r="N12" s="53"/>
      <c r="O12" s="54" t="s">
        <v>120</v>
      </c>
      <c r="P12" s="54" t="s">
        <v>125</v>
      </c>
    </row>
    <row r="13" spans="1:16" ht="12.75" customHeight="1" x14ac:dyDescent="0.2">
      <c r="A13" s="29" t="str">
        <f t="shared" si="0"/>
        <v> ORI 125 </v>
      </c>
      <c r="B13" s="16" t="str">
        <f t="shared" si="1"/>
        <v>I</v>
      </c>
      <c r="C13" s="29">
        <f t="shared" si="2"/>
        <v>41062.491000000002</v>
      </c>
      <c r="D13" t="str">
        <f t="shared" si="3"/>
        <v>vis</v>
      </c>
      <c r="E13">
        <f>VLOOKUP(C13,Active!C$21:E$972,3,FALSE)</f>
        <v>-1813.003192132207</v>
      </c>
      <c r="F13" s="16" t="s">
        <v>115</v>
      </c>
      <c r="G13" t="str">
        <f t="shared" si="4"/>
        <v>41062.491</v>
      </c>
      <c r="H13" s="29">
        <f t="shared" si="5"/>
        <v>-1813</v>
      </c>
      <c r="I13" s="52" t="s">
        <v>126</v>
      </c>
      <c r="J13" s="53" t="s">
        <v>127</v>
      </c>
      <c r="K13" s="52">
        <v>-1813</v>
      </c>
      <c r="L13" s="52" t="s">
        <v>128</v>
      </c>
      <c r="M13" s="53" t="s">
        <v>119</v>
      </c>
      <c r="N13" s="53"/>
      <c r="O13" s="54" t="s">
        <v>129</v>
      </c>
      <c r="P13" s="54" t="s">
        <v>125</v>
      </c>
    </row>
    <row r="14" spans="1:16" ht="12.75" customHeight="1" x14ac:dyDescent="0.2">
      <c r="A14" s="29" t="str">
        <f t="shared" si="0"/>
        <v> ORI 125 </v>
      </c>
      <c r="B14" s="16" t="str">
        <f t="shared" si="1"/>
        <v>I</v>
      </c>
      <c r="C14" s="29">
        <f t="shared" si="2"/>
        <v>41091.46</v>
      </c>
      <c r="D14" t="str">
        <f t="shared" si="3"/>
        <v>vis</v>
      </c>
      <c r="E14">
        <f>VLOOKUP(C14,Active!C$21:E$972,3,FALSE)</f>
        <v>-1797.0049778971829</v>
      </c>
      <c r="F14" s="16" t="s">
        <v>115</v>
      </c>
      <c r="G14" t="str">
        <f t="shared" si="4"/>
        <v>41091.460</v>
      </c>
      <c r="H14" s="29">
        <f t="shared" si="5"/>
        <v>-1797</v>
      </c>
      <c r="I14" s="52" t="s">
        <v>130</v>
      </c>
      <c r="J14" s="53" t="s">
        <v>131</v>
      </c>
      <c r="K14" s="52">
        <v>-1797</v>
      </c>
      <c r="L14" s="52" t="s">
        <v>118</v>
      </c>
      <c r="M14" s="53" t="s">
        <v>119</v>
      </c>
      <c r="N14" s="53"/>
      <c r="O14" s="54" t="s">
        <v>120</v>
      </c>
      <c r="P14" s="54" t="s">
        <v>125</v>
      </c>
    </row>
    <row r="15" spans="1:16" ht="12.75" customHeight="1" x14ac:dyDescent="0.2">
      <c r="A15" s="29" t="str">
        <f t="shared" si="0"/>
        <v> BBS 2 </v>
      </c>
      <c r="B15" s="16" t="str">
        <f t="shared" si="1"/>
        <v>I</v>
      </c>
      <c r="C15" s="29">
        <f t="shared" si="2"/>
        <v>41397.474999999999</v>
      </c>
      <c r="D15" t="str">
        <f t="shared" si="3"/>
        <v>vis</v>
      </c>
      <c r="E15">
        <f>VLOOKUP(C15,Active!C$21:E$972,3,FALSE)</f>
        <v>-1628.0073069685602</v>
      </c>
      <c r="F15" s="16" t="s">
        <v>115</v>
      </c>
      <c r="G15" t="str">
        <f t="shared" si="4"/>
        <v>41397.475</v>
      </c>
      <c r="H15" s="29">
        <f t="shared" si="5"/>
        <v>-1628</v>
      </c>
      <c r="I15" s="52" t="s">
        <v>132</v>
      </c>
      <c r="J15" s="53" t="s">
        <v>133</v>
      </c>
      <c r="K15" s="52">
        <v>-1628</v>
      </c>
      <c r="L15" s="52" t="s">
        <v>134</v>
      </c>
      <c r="M15" s="53" t="s">
        <v>119</v>
      </c>
      <c r="N15" s="53"/>
      <c r="O15" s="54" t="s">
        <v>129</v>
      </c>
      <c r="P15" s="54" t="s">
        <v>135</v>
      </c>
    </row>
    <row r="16" spans="1:16" ht="12.75" customHeight="1" x14ac:dyDescent="0.2">
      <c r="A16" s="29" t="str">
        <f t="shared" si="0"/>
        <v> BBS 15 </v>
      </c>
      <c r="B16" s="16" t="str">
        <f t="shared" si="1"/>
        <v>I</v>
      </c>
      <c r="C16" s="29">
        <f t="shared" si="2"/>
        <v>42152.565000000002</v>
      </c>
      <c r="D16" t="str">
        <f t="shared" si="3"/>
        <v>vis</v>
      </c>
      <c r="E16">
        <f>VLOOKUP(C16,Active!C$21:E$972,3,FALSE)</f>
        <v>-1211.0066653611398</v>
      </c>
      <c r="F16" s="16" t="s">
        <v>115</v>
      </c>
      <c r="G16" t="str">
        <f t="shared" si="4"/>
        <v>42152.565</v>
      </c>
      <c r="H16" s="29">
        <f t="shared" si="5"/>
        <v>-1211</v>
      </c>
      <c r="I16" s="52" t="s">
        <v>136</v>
      </c>
      <c r="J16" s="53" t="s">
        <v>137</v>
      </c>
      <c r="K16" s="52">
        <v>-1211</v>
      </c>
      <c r="L16" s="52" t="s">
        <v>138</v>
      </c>
      <c r="M16" s="53" t="s">
        <v>119</v>
      </c>
      <c r="N16" s="53"/>
      <c r="O16" s="54" t="s">
        <v>129</v>
      </c>
      <c r="P16" s="54" t="s">
        <v>139</v>
      </c>
    </row>
    <row r="17" spans="1:16" ht="12.75" customHeight="1" x14ac:dyDescent="0.2">
      <c r="A17" s="29" t="str">
        <f t="shared" si="0"/>
        <v> BBS 22 </v>
      </c>
      <c r="B17" s="16" t="str">
        <f t="shared" si="1"/>
        <v>I</v>
      </c>
      <c r="C17" s="29">
        <f t="shared" si="2"/>
        <v>42545.489000000001</v>
      </c>
      <c r="D17" t="str">
        <f t="shared" si="3"/>
        <v>vis</v>
      </c>
      <c r="E17">
        <f>VLOOKUP(C17,Active!C$21:E$972,3,FALSE)</f>
        <v>-994.01324722164281</v>
      </c>
      <c r="F17" s="16" t="s">
        <v>115</v>
      </c>
      <c r="G17" t="str">
        <f t="shared" si="4"/>
        <v>42545.489</v>
      </c>
      <c r="H17" s="29">
        <f t="shared" si="5"/>
        <v>-994</v>
      </c>
      <c r="I17" s="52" t="s">
        <v>140</v>
      </c>
      <c r="J17" s="53" t="s">
        <v>141</v>
      </c>
      <c r="K17" s="52">
        <v>-994</v>
      </c>
      <c r="L17" s="52" t="s">
        <v>142</v>
      </c>
      <c r="M17" s="53" t="s">
        <v>119</v>
      </c>
      <c r="N17" s="53"/>
      <c r="O17" s="54" t="s">
        <v>129</v>
      </c>
      <c r="P17" s="54" t="s">
        <v>143</v>
      </c>
    </row>
    <row r="18" spans="1:16" ht="12.75" customHeight="1" x14ac:dyDescent="0.2">
      <c r="A18" s="29" t="str">
        <f t="shared" si="0"/>
        <v> BBS 27 </v>
      </c>
      <c r="B18" s="16" t="str">
        <f t="shared" si="1"/>
        <v>I</v>
      </c>
      <c r="C18" s="29">
        <f t="shared" si="2"/>
        <v>42842.472000000002</v>
      </c>
      <c r="D18" t="str">
        <f t="shared" si="3"/>
        <v>vis</v>
      </c>
      <c r="E18">
        <f>VLOOKUP(C18,Active!C$21:E$972,3,FALSE)</f>
        <v>-830.00352447800174</v>
      </c>
      <c r="F18" s="16" t="s">
        <v>115</v>
      </c>
      <c r="G18" t="str">
        <f t="shared" si="4"/>
        <v>42842.472</v>
      </c>
      <c r="H18" s="29">
        <f t="shared" si="5"/>
        <v>-830</v>
      </c>
      <c r="I18" s="52" t="s">
        <v>144</v>
      </c>
      <c r="J18" s="53" t="s">
        <v>145</v>
      </c>
      <c r="K18" s="52">
        <v>-830</v>
      </c>
      <c r="L18" s="52" t="s">
        <v>146</v>
      </c>
      <c r="M18" s="53" t="s">
        <v>119</v>
      </c>
      <c r="N18" s="53"/>
      <c r="O18" s="54" t="s">
        <v>129</v>
      </c>
      <c r="P18" s="54" t="s">
        <v>147</v>
      </c>
    </row>
    <row r="19" spans="1:16" ht="12.75" customHeight="1" x14ac:dyDescent="0.2">
      <c r="A19" s="29" t="str">
        <f t="shared" si="0"/>
        <v> BBS 28 </v>
      </c>
      <c r="B19" s="16" t="str">
        <f t="shared" si="1"/>
        <v>I</v>
      </c>
      <c r="C19" s="29">
        <f t="shared" si="2"/>
        <v>42871.446000000004</v>
      </c>
      <c r="D19" t="str">
        <f t="shared" si="3"/>
        <v>vis</v>
      </c>
      <c r="E19">
        <f>VLOOKUP(C19,Active!C$21:E$972,3,FALSE)</f>
        <v>-814.00254897847958</v>
      </c>
      <c r="F19" s="16" t="s">
        <v>115</v>
      </c>
      <c r="G19" t="str">
        <f t="shared" si="4"/>
        <v>42871.446</v>
      </c>
      <c r="H19" s="29">
        <f t="shared" si="5"/>
        <v>-814</v>
      </c>
      <c r="I19" s="52" t="s">
        <v>148</v>
      </c>
      <c r="J19" s="53" t="s">
        <v>149</v>
      </c>
      <c r="K19" s="52">
        <v>-814</v>
      </c>
      <c r="L19" s="52" t="s">
        <v>150</v>
      </c>
      <c r="M19" s="53" t="s">
        <v>119</v>
      </c>
      <c r="N19" s="53"/>
      <c r="O19" s="54" t="s">
        <v>129</v>
      </c>
      <c r="P19" s="54" t="s">
        <v>151</v>
      </c>
    </row>
    <row r="20" spans="1:16" ht="12.75" customHeight="1" x14ac:dyDescent="0.2">
      <c r="A20" s="29" t="str">
        <f t="shared" si="0"/>
        <v> BBS 28 </v>
      </c>
      <c r="B20" s="16" t="str">
        <f t="shared" si="1"/>
        <v>I</v>
      </c>
      <c r="C20" s="29">
        <f t="shared" si="2"/>
        <v>42900.406999999999</v>
      </c>
      <c r="D20" t="str">
        <f t="shared" si="3"/>
        <v>vis</v>
      </c>
      <c r="E20">
        <f>VLOOKUP(C20,Active!C$21:E$972,3,FALSE)</f>
        <v>-798.00875276664965</v>
      </c>
      <c r="F20" s="16" t="s">
        <v>115</v>
      </c>
      <c r="G20" t="str">
        <f t="shared" si="4"/>
        <v>42900.407</v>
      </c>
      <c r="H20" s="29">
        <f t="shared" si="5"/>
        <v>-798</v>
      </c>
      <c r="I20" s="52" t="s">
        <v>152</v>
      </c>
      <c r="J20" s="53" t="s">
        <v>153</v>
      </c>
      <c r="K20" s="52">
        <v>-798</v>
      </c>
      <c r="L20" s="52" t="s">
        <v>154</v>
      </c>
      <c r="M20" s="53" t="s">
        <v>119</v>
      </c>
      <c r="N20" s="53"/>
      <c r="O20" s="54" t="s">
        <v>155</v>
      </c>
      <c r="P20" s="54" t="s">
        <v>151</v>
      </c>
    </row>
    <row r="21" spans="1:16" ht="12.75" customHeight="1" x14ac:dyDescent="0.2">
      <c r="A21" s="29" t="str">
        <f t="shared" si="0"/>
        <v> BBS 28 </v>
      </c>
      <c r="B21" s="16" t="str">
        <f t="shared" si="1"/>
        <v>I</v>
      </c>
      <c r="C21" s="29">
        <f t="shared" si="2"/>
        <v>42900.411999999997</v>
      </c>
      <c r="D21" t="str">
        <f t="shared" si="3"/>
        <v>vis</v>
      </c>
      <c r="E21">
        <f>VLOOKUP(C21,Active!C$21:E$972,3,FALSE)</f>
        <v>-798.00599150215544</v>
      </c>
      <c r="F21" s="16" t="s">
        <v>115</v>
      </c>
      <c r="G21" t="str">
        <f t="shared" si="4"/>
        <v>42900.412</v>
      </c>
      <c r="H21" s="29">
        <f t="shared" si="5"/>
        <v>-798</v>
      </c>
      <c r="I21" s="52" t="s">
        <v>156</v>
      </c>
      <c r="J21" s="53" t="s">
        <v>157</v>
      </c>
      <c r="K21" s="52">
        <v>-798</v>
      </c>
      <c r="L21" s="52" t="s">
        <v>158</v>
      </c>
      <c r="M21" s="53" t="s">
        <v>119</v>
      </c>
      <c r="N21" s="53"/>
      <c r="O21" s="54" t="s">
        <v>120</v>
      </c>
      <c r="P21" s="54" t="s">
        <v>151</v>
      </c>
    </row>
    <row r="22" spans="1:16" ht="12.75" customHeight="1" x14ac:dyDescent="0.2">
      <c r="A22" s="29" t="str">
        <f t="shared" si="0"/>
        <v> BBS 28 </v>
      </c>
      <c r="B22" s="16" t="str">
        <f t="shared" si="1"/>
        <v>I</v>
      </c>
      <c r="C22" s="29">
        <f t="shared" si="2"/>
        <v>42900.413999999997</v>
      </c>
      <c r="D22" t="str">
        <f t="shared" si="3"/>
        <v>vis</v>
      </c>
      <c r="E22">
        <f>VLOOKUP(C22,Active!C$21:E$972,3,FALSE)</f>
        <v>-798.00488699635696</v>
      </c>
      <c r="F22" s="16" t="s">
        <v>115</v>
      </c>
      <c r="G22" t="str">
        <f t="shared" si="4"/>
        <v>42900.414</v>
      </c>
      <c r="H22" s="29">
        <f t="shared" si="5"/>
        <v>-798</v>
      </c>
      <c r="I22" s="52" t="s">
        <v>159</v>
      </c>
      <c r="J22" s="53" t="s">
        <v>160</v>
      </c>
      <c r="K22" s="52">
        <v>-798</v>
      </c>
      <c r="L22" s="52" t="s">
        <v>161</v>
      </c>
      <c r="M22" s="53" t="s">
        <v>119</v>
      </c>
      <c r="N22" s="53"/>
      <c r="O22" s="54" t="s">
        <v>162</v>
      </c>
      <c r="P22" s="54" t="s">
        <v>151</v>
      </c>
    </row>
    <row r="23" spans="1:16" ht="12.75" customHeight="1" x14ac:dyDescent="0.2">
      <c r="A23" s="29" t="str">
        <f t="shared" si="0"/>
        <v> BBS 33 </v>
      </c>
      <c r="B23" s="16" t="str">
        <f t="shared" si="1"/>
        <v>I</v>
      </c>
      <c r="C23" s="29">
        <f t="shared" si="2"/>
        <v>43273.432000000001</v>
      </c>
      <c r="D23" t="str">
        <f t="shared" si="3"/>
        <v>vis</v>
      </c>
      <c r="E23">
        <f>VLOOKUP(C23,Active!C$21:E$972,3,FALSE)</f>
        <v>-592.00461506702743</v>
      </c>
      <c r="F23" s="16" t="s">
        <v>115</v>
      </c>
      <c r="G23" t="str">
        <f t="shared" si="4"/>
        <v>43273.432</v>
      </c>
      <c r="H23" s="29">
        <f t="shared" si="5"/>
        <v>-592</v>
      </c>
      <c r="I23" s="52" t="s">
        <v>163</v>
      </c>
      <c r="J23" s="53" t="s">
        <v>164</v>
      </c>
      <c r="K23" s="52">
        <v>-592</v>
      </c>
      <c r="L23" s="52" t="s">
        <v>158</v>
      </c>
      <c r="M23" s="53" t="s">
        <v>119</v>
      </c>
      <c r="N23" s="53"/>
      <c r="O23" s="54" t="s">
        <v>129</v>
      </c>
      <c r="P23" s="54" t="s">
        <v>165</v>
      </c>
    </row>
    <row r="24" spans="1:16" ht="12.75" customHeight="1" x14ac:dyDescent="0.2">
      <c r="A24" s="29" t="str">
        <f t="shared" si="0"/>
        <v> BBS 36 </v>
      </c>
      <c r="B24" s="16" t="str">
        <f t="shared" si="1"/>
        <v>I</v>
      </c>
      <c r="C24" s="29">
        <f t="shared" si="2"/>
        <v>43510.646000000001</v>
      </c>
      <c r="D24" t="str">
        <f t="shared" si="3"/>
        <v>vis</v>
      </c>
      <c r="E24">
        <f>VLOOKUP(C24,Active!C$21:E$972,3,FALSE)</f>
        <v>-461.00249585175226</v>
      </c>
      <c r="F24" s="16" t="s">
        <v>115</v>
      </c>
      <c r="G24" t="str">
        <f t="shared" si="4"/>
        <v>43510.646</v>
      </c>
      <c r="H24" s="29">
        <f t="shared" si="5"/>
        <v>-461</v>
      </c>
      <c r="I24" s="52" t="s">
        <v>166</v>
      </c>
      <c r="J24" s="53" t="s">
        <v>167</v>
      </c>
      <c r="K24" s="52">
        <v>-461</v>
      </c>
      <c r="L24" s="52" t="s">
        <v>138</v>
      </c>
      <c r="M24" s="53" t="s">
        <v>119</v>
      </c>
      <c r="N24" s="53"/>
      <c r="O24" s="54" t="s">
        <v>129</v>
      </c>
      <c r="P24" s="54" t="s">
        <v>168</v>
      </c>
    </row>
    <row r="25" spans="1:16" ht="12.75" customHeight="1" x14ac:dyDescent="0.2">
      <c r="A25" s="29" t="str">
        <f t="shared" si="0"/>
        <v> BBS 43 </v>
      </c>
      <c r="B25" s="16" t="str">
        <f t="shared" si="1"/>
        <v>I</v>
      </c>
      <c r="C25" s="29">
        <f t="shared" si="2"/>
        <v>43981.447</v>
      </c>
      <c r="D25" t="str">
        <f t="shared" si="3"/>
        <v>vis</v>
      </c>
      <c r="E25">
        <f>VLOOKUP(C25,Active!C$21:E$972,3,FALSE)</f>
        <v>-201.00127868636287</v>
      </c>
      <c r="F25" s="16" t="s">
        <v>115</v>
      </c>
      <c r="G25" t="str">
        <f t="shared" si="4"/>
        <v>43981.447</v>
      </c>
      <c r="H25" s="29">
        <f t="shared" si="5"/>
        <v>-201</v>
      </c>
      <c r="I25" s="52" t="s">
        <v>169</v>
      </c>
      <c r="J25" s="53" t="s">
        <v>170</v>
      </c>
      <c r="K25" s="52">
        <v>-201</v>
      </c>
      <c r="L25" s="52" t="s">
        <v>161</v>
      </c>
      <c r="M25" s="53" t="s">
        <v>119</v>
      </c>
      <c r="N25" s="53"/>
      <c r="O25" s="54" t="s">
        <v>120</v>
      </c>
      <c r="P25" s="54" t="s">
        <v>171</v>
      </c>
    </row>
    <row r="26" spans="1:16" ht="12.75" customHeight="1" x14ac:dyDescent="0.2">
      <c r="A26" s="29" t="str">
        <f t="shared" si="0"/>
        <v> BBS 43 </v>
      </c>
      <c r="B26" s="16" t="str">
        <f t="shared" si="1"/>
        <v>I</v>
      </c>
      <c r="C26" s="29">
        <f t="shared" si="2"/>
        <v>44010.421999999999</v>
      </c>
      <c r="D26" t="str">
        <f t="shared" si="3"/>
        <v>vis</v>
      </c>
      <c r="E26">
        <f>VLOOKUP(C26,Active!C$21:E$972,3,FALSE)</f>
        <v>-184.99975093394349</v>
      </c>
      <c r="F26" s="16" t="s">
        <v>115</v>
      </c>
      <c r="G26" t="str">
        <f t="shared" si="4"/>
        <v>44010.422</v>
      </c>
      <c r="H26" s="29">
        <f t="shared" si="5"/>
        <v>-185</v>
      </c>
      <c r="I26" s="52" t="s">
        <v>172</v>
      </c>
      <c r="J26" s="53" t="s">
        <v>173</v>
      </c>
      <c r="K26" s="52">
        <v>-185</v>
      </c>
      <c r="L26" s="52" t="s">
        <v>174</v>
      </c>
      <c r="M26" s="53" t="s">
        <v>119</v>
      </c>
      <c r="N26" s="53"/>
      <c r="O26" s="54" t="s">
        <v>120</v>
      </c>
      <c r="P26" s="54" t="s">
        <v>171</v>
      </c>
    </row>
    <row r="27" spans="1:16" ht="12.75" customHeight="1" x14ac:dyDescent="0.2">
      <c r="A27" s="29" t="str">
        <f t="shared" si="0"/>
        <v> BBS 44 </v>
      </c>
      <c r="B27" s="16" t="str">
        <f t="shared" si="1"/>
        <v>I</v>
      </c>
      <c r="C27" s="29">
        <f t="shared" si="2"/>
        <v>44039.389000000003</v>
      </c>
      <c r="D27" t="str">
        <f t="shared" si="3"/>
        <v>vis</v>
      </c>
      <c r="E27">
        <f>VLOOKUP(C27,Active!C$21:E$972,3,FALSE)</f>
        <v>-169.00264120471408</v>
      </c>
      <c r="F27" s="16" t="s">
        <v>115</v>
      </c>
      <c r="G27" t="str">
        <f t="shared" si="4"/>
        <v>44039.389</v>
      </c>
      <c r="H27" s="29">
        <f t="shared" si="5"/>
        <v>-169</v>
      </c>
      <c r="I27" s="52" t="s">
        <v>175</v>
      </c>
      <c r="J27" s="53" t="s">
        <v>176</v>
      </c>
      <c r="K27" s="52">
        <v>-169</v>
      </c>
      <c r="L27" s="52" t="s">
        <v>177</v>
      </c>
      <c r="M27" s="53" t="s">
        <v>119</v>
      </c>
      <c r="N27" s="53"/>
      <c r="O27" s="54" t="s">
        <v>129</v>
      </c>
      <c r="P27" s="54" t="s">
        <v>178</v>
      </c>
    </row>
    <row r="28" spans="1:16" ht="12.75" customHeight="1" x14ac:dyDescent="0.2">
      <c r="A28" s="29" t="str">
        <f t="shared" si="0"/>
        <v> BBS 46 </v>
      </c>
      <c r="B28" s="16" t="str">
        <f t="shared" si="1"/>
        <v>I</v>
      </c>
      <c r="C28" s="29">
        <f t="shared" si="2"/>
        <v>44267.548999999999</v>
      </c>
      <c r="D28" t="str">
        <f t="shared" si="3"/>
        <v>vis</v>
      </c>
      <c r="E28">
        <f>VLOOKUP(C28,Active!C$21:E$972,3,FALSE)</f>
        <v>-43.000619738204179</v>
      </c>
      <c r="F28" s="16" t="s">
        <v>115</v>
      </c>
      <c r="G28" t="str">
        <f t="shared" si="4"/>
        <v>44267.549</v>
      </c>
      <c r="H28" s="29">
        <f t="shared" si="5"/>
        <v>-43</v>
      </c>
      <c r="I28" s="52" t="s">
        <v>179</v>
      </c>
      <c r="J28" s="53" t="s">
        <v>180</v>
      </c>
      <c r="K28" s="52">
        <v>-43</v>
      </c>
      <c r="L28" s="52" t="s">
        <v>181</v>
      </c>
      <c r="M28" s="53" t="s">
        <v>119</v>
      </c>
      <c r="N28" s="53"/>
      <c r="O28" s="54" t="s">
        <v>129</v>
      </c>
      <c r="P28" s="54" t="s">
        <v>182</v>
      </c>
    </row>
    <row r="29" spans="1:16" ht="12.75" customHeight="1" x14ac:dyDescent="0.2">
      <c r="A29" s="29" t="str">
        <f t="shared" si="0"/>
        <v> BBS 47 </v>
      </c>
      <c r="B29" s="16" t="str">
        <f t="shared" si="1"/>
        <v>I</v>
      </c>
      <c r="C29" s="29">
        <f t="shared" si="2"/>
        <v>44345.413</v>
      </c>
      <c r="D29" t="str">
        <f t="shared" si="3"/>
        <v>vis</v>
      </c>
      <c r="E29">
        <f>VLOOKUP(C29,Active!C$21:E$972,3,FALSE)</f>
        <v>0</v>
      </c>
      <c r="F29" s="16" t="s">
        <v>115</v>
      </c>
      <c r="G29" t="str">
        <f t="shared" si="4"/>
        <v>44345.413</v>
      </c>
      <c r="H29" s="29">
        <f t="shared" si="5"/>
        <v>0</v>
      </c>
      <c r="I29" s="52" t="s">
        <v>183</v>
      </c>
      <c r="J29" s="53" t="s">
        <v>184</v>
      </c>
      <c r="K29" s="52">
        <v>0</v>
      </c>
      <c r="L29" s="52" t="s">
        <v>185</v>
      </c>
      <c r="M29" s="53" t="s">
        <v>119</v>
      </c>
      <c r="N29" s="53"/>
      <c r="O29" s="54" t="s">
        <v>129</v>
      </c>
      <c r="P29" s="54" t="s">
        <v>186</v>
      </c>
    </row>
    <row r="30" spans="1:16" ht="12.75" customHeight="1" x14ac:dyDescent="0.2">
      <c r="A30" s="29" t="str">
        <f t="shared" si="0"/>
        <v> BBS 47 </v>
      </c>
      <c r="B30" s="16" t="str">
        <f t="shared" si="1"/>
        <v>I</v>
      </c>
      <c r="C30" s="29">
        <f t="shared" si="2"/>
        <v>44354.466999999997</v>
      </c>
      <c r="D30" t="str">
        <f t="shared" si="3"/>
        <v>vis</v>
      </c>
      <c r="E30">
        <f>VLOOKUP(C30,Active!C$21:E$972,3,FALSE)</f>
        <v>5.0000977487611857</v>
      </c>
      <c r="F30" s="16" t="s">
        <v>115</v>
      </c>
      <c r="G30" t="str">
        <f t="shared" si="4"/>
        <v>44354.467</v>
      </c>
      <c r="H30" s="29">
        <f t="shared" si="5"/>
        <v>5</v>
      </c>
      <c r="I30" s="52" t="s">
        <v>187</v>
      </c>
      <c r="J30" s="53" t="s">
        <v>188</v>
      </c>
      <c r="K30" s="52">
        <v>5</v>
      </c>
      <c r="L30" s="52" t="s">
        <v>185</v>
      </c>
      <c r="M30" s="53" t="s">
        <v>119</v>
      </c>
      <c r="N30" s="53"/>
      <c r="O30" s="54" t="s">
        <v>129</v>
      </c>
      <c r="P30" s="54" t="s">
        <v>186</v>
      </c>
    </row>
    <row r="31" spans="1:16" ht="12.75" customHeight="1" x14ac:dyDescent="0.2">
      <c r="A31" s="29" t="str">
        <f t="shared" si="0"/>
        <v> BBS 52 </v>
      </c>
      <c r="B31" s="16" t="str">
        <f t="shared" si="1"/>
        <v>I</v>
      </c>
      <c r="C31" s="29">
        <f t="shared" si="2"/>
        <v>44629.7</v>
      </c>
      <c r="D31" t="str">
        <f t="shared" si="3"/>
        <v>vis</v>
      </c>
      <c r="E31">
        <f>VLOOKUP(C31,Active!C$21:E$972,3,FALSE)</f>
        <v>156.9983199362284</v>
      </c>
      <c r="F31" s="16" t="s">
        <v>115</v>
      </c>
      <c r="G31" t="str">
        <f t="shared" si="4"/>
        <v>44629.700</v>
      </c>
      <c r="H31" s="29">
        <f t="shared" si="5"/>
        <v>157</v>
      </c>
      <c r="I31" s="52" t="s">
        <v>189</v>
      </c>
      <c r="J31" s="53" t="s">
        <v>190</v>
      </c>
      <c r="K31" s="52">
        <v>157</v>
      </c>
      <c r="L31" s="52" t="s">
        <v>191</v>
      </c>
      <c r="M31" s="53" t="s">
        <v>119</v>
      </c>
      <c r="N31" s="53"/>
      <c r="O31" s="54" t="s">
        <v>129</v>
      </c>
      <c r="P31" s="54" t="s">
        <v>192</v>
      </c>
    </row>
    <row r="32" spans="1:16" ht="12.75" customHeight="1" x14ac:dyDescent="0.2">
      <c r="A32" s="29" t="str">
        <f t="shared" si="0"/>
        <v> BBS 59 </v>
      </c>
      <c r="B32" s="16" t="str">
        <f t="shared" si="1"/>
        <v>I</v>
      </c>
      <c r="C32" s="29">
        <f t="shared" si="2"/>
        <v>45022.641000000003</v>
      </c>
      <c r="D32" t="str">
        <f t="shared" si="3"/>
        <v>vis</v>
      </c>
      <c r="E32">
        <f>VLOOKUP(C32,Active!C$21:E$972,3,FALSE)</f>
        <v>374.00112637501462</v>
      </c>
      <c r="F32" s="16" t="s">
        <v>115</v>
      </c>
      <c r="G32" t="str">
        <f t="shared" si="4"/>
        <v>45022.641</v>
      </c>
      <c r="H32" s="29">
        <f t="shared" si="5"/>
        <v>374</v>
      </c>
      <c r="I32" s="52" t="s">
        <v>193</v>
      </c>
      <c r="J32" s="53" t="s">
        <v>194</v>
      </c>
      <c r="K32" s="52">
        <v>374</v>
      </c>
      <c r="L32" s="52" t="s">
        <v>158</v>
      </c>
      <c r="M32" s="53" t="s">
        <v>119</v>
      </c>
      <c r="N32" s="53"/>
      <c r="O32" s="54" t="s">
        <v>129</v>
      </c>
      <c r="P32" s="54" t="s">
        <v>195</v>
      </c>
    </row>
    <row r="33" spans="1:16" ht="12.75" customHeight="1" x14ac:dyDescent="0.2">
      <c r="A33" s="29" t="str">
        <f t="shared" si="0"/>
        <v> BBS 60 </v>
      </c>
      <c r="B33" s="16" t="str">
        <f t="shared" si="1"/>
        <v>I</v>
      </c>
      <c r="C33" s="29">
        <f t="shared" si="2"/>
        <v>45082.398999999998</v>
      </c>
      <c r="D33" t="str">
        <f t="shared" si="3"/>
        <v>vis</v>
      </c>
      <c r="E33">
        <f>VLOOKUP(C33,Active!C$21:E$972,3,FALSE)</f>
        <v>407.0026551214869</v>
      </c>
      <c r="F33" s="16" t="s">
        <v>115</v>
      </c>
      <c r="G33" t="str">
        <f t="shared" si="4"/>
        <v>45082.399</v>
      </c>
      <c r="H33" s="29">
        <f t="shared" si="5"/>
        <v>407</v>
      </c>
      <c r="I33" s="52" t="s">
        <v>196</v>
      </c>
      <c r="J33" s="53" t="s">
        <v>197</v>
      </c>
      <c r="K33" s="52">
        <v>407</v>
      </c>
      <c r="L33" s="52" t="s">
        <v>185</v>
      </c>
      <c r="M33" s="53" t="s">
        <v>119</v>
      </c>
      <c r="N33" s="53"/>
      <c r="O33" s="54" t="s">
        <v>129</v>
      </c>
      <c r="P33" s="54" t="s">
        <v>198</v>
      </c>
    </row>
    <row r="34" spans="1:16" ht="12.75" customHeight="1" x14ac:dyDescent="0.2">
      <c r="A34" s="29" t="str">
        <f t="shared" si="0"/>
        <v> BBS 60 </v>
      </c>
      <c r="B34" s="16" t="str">
        <f t="shared" si="1"/>
        <v>I</v>
      </c>
      <c r="C34" s="29">
        <f t="shared" si="2"/>
        <v>45111.373</v>
      </c>
      <c r="D34" t="str">
        <f t="shared" si="3"/>
        <v>vis</v>
      </c>
      <c r="E34">
        <f>VLOOKUP(C34,Active!C$21:E$972,3,FALSE)</f>
        <v>423.00363062100899</v>
      </c>
      <c r="F34" s="16" t="s">
        <v>115</v>
      </c>
      <c r="G34" t="str">
        <f t="shared" si="4"/>
        <v>45111.373</v>
      </c>
      <c r="H34" s="29">
        <f t="shared" si="5"/>
        <v>423</v>
      </c>
      <c r="I34" s="52" t="s">
        <v>199</v>
      </c>
      <c r="J34" s="53" t="s">
        <v>200</v>
      </c>
      <c r="K34" s="52">
        <v>423</v>
      </c>
      <c r="L34" s="52" t="s">
        <v>174</v>
      </c>
      <c r="M34" s="53" t="s">
        <v>119</v>
      </c>
      <c r="N34" s="53"/>
      <c r="O34" s="54" t="s">
        <v>201</v>
      </c>
      <c r="P34" s="54" t="s">
        <v>198</v>
      </c>
    </row>
    <row r="35" spans="1:16" ht="12.75" customHeight="1" x14ac:dyDescent="0.2">
      <c r="A35" s="29" t="str">
        <f t="shared" si="0"/>
        <v> BBS 61 </v>
      </c>
      <c r="B35" s="16" t="str">
        <f t="shared" si="1"/>
        <v>I</v>
      </c>
      <c r="C35" s="29">
        <f t="shared" si="2"/>
        <v>45111.387999999999</v>
      </c>
      <c r="D35" t="str">
        <f t="shared" si="3"/>
        <v>vis</v>
      </c>
      <c r="E35">
        <f>VLOOKUP(C35,Active!C$21:E$972,3,FALSE)</f>
        <v>423.01191441449572</v>
      </c>
      <c r="F35" s="16" t="s">
        <v>115</v>
      </c>
      <c r="G35" t="str">
        <f t="shared" si="4"/>
        <v>45111.388</v>
      </c>
      <c r="H35" s="29">
        <f t="shared" si="5"/>
        <v>423</v>
      </c>
      <c r="I35" s="52" t="s">
        <v>202</v>
      </c>
      <c r="J35" s="53" t="s">
        <v>203</v>
      </c>
      <c r="K35" s="52">
        <v>423</v>
      </c>
      <c r="L35" s="52" t="s">
        <v>204</v>
      </c>
      <c r="M35" s="53" t="s">
        <v>119</v>
      </c>
      <c r="N35" s="53"/>
      <c r="O35" s="54" t="s">
        <v>205</v>
      </c>
      <c r="P35" s="54" t="s">
        <v>206</v>
      </c>
    </row>
    <row r="36" spans="1:16" ht="12.75" customHeight="1" x14ac:dyDescent="0.2">
      <c r="A36" s="29" t="str">
        <f t="shared" si="0"/>
        <v> BBS 61 </v>
      </c>
      <c r="B36" s="16" t="str">
        <f t="shared" si="1"/>
        <v>I</v>
      </c>
      <c r="C36" s="29">
        <f t="shared" si="2"/>
        <v>45140.349000000002</v>
      </c>
      <c r="D36" t="str">
        <f t="shared" si="3"/>
        <v>vis</v>
      </c>
      <c r="E36">
        <f>VLOOKUP(C36,Active!C$21:E$972,3,FALSE)</f>
        <v>439.00571062632963</v>
      </c>
      <c r="F36" s="16" t="s">
        <v>115</v>
      </c>
      <c r="G36" t="str">
        <f t="shared" si="4"/>
        <v>45140.349</v>
      </c>
      <c r="H36" s="29">
        <f t="shared" si="5"/>
        <v>439</v>
      </c>
      <c r="I36" s="52" t="s">
        <v>207</v>
      </c>
      <c r="J36" s="53" t="s">
        <v>208</v>
      </c>
      <c r="K36" s="52">
        <v>439</v>
      </c>
      <c r="L36" s="52" t="s">
        <v>209</v>
      </c>
      <c r="M36" s="53" t="s">
        <v>119</v>
      </c>
      <c r="N36" s="53"/>
      <c r="O36" s="54" t="s">
        <v>201</v>
      </c>
      <c r="P36" s="54" t="s">
        <v>206</v>
      </c>
    </row>
    <row r="37" spans="1:16" ht="12.75" customHeight="1" x14ac:dyDescent="0.2">
      <c r="A37" s="29" t="str">
        <f t="shared" si="0"/>
        <v> BBS 64 </v>
      </c>
      <c r="B37" s="16" t="str">
        <f t="shared" si="1"/>
        <v>I</v>
      </c>
      <c r="C37" s="29">
        <f t="shared" si="2"/>
        <v>45357.631999999998</v>
      </c>
      <c r="D37" t="str">
        <f t="shared" si="3"/>
        <v>vis</v>
      </c>
      <c r="E37">
        <f>VLOOKUP(C37,Active!C$21:E$972,3,FALSE)</f>
        <v>559.00087730895416</v>
      </c>
      <c r="F37" s="16" t="s">
        <v>115</v>
      </c>
      <c r="G37" t="str">
        <f t="shared" si="4"/>
        <v>45357.632</v>
      </c>
      <c r="H37" s="29">
        <f t="shared" si="5"/>
        <v>559</v>
      </c>
      <c r="I37" s="52" t="s">
        <v>210</v>
      </c>
      <c r="J37" s="53" t="s">
        <v>211</v>
      </c>
      <c r="K37" s="52">
        <v>559</v>
      </c>
      <c r="L37" s="52" t="s">
        <v>191</v>
      </c>
      <c r="M37" s="53" t="s">
        <v>119</v>
      </c>
      <c r="N37" s="53"/>
      <c r="O37" s="54" t="s">
        <v>129</v>
      </c>
      <c r="P37" s="54" t="s">
        <v>212</v>
      </c>
    </row>
    <row r="38" spans="1:16" ht="12.75" customHeight="1" x14ac:dyDescent="0.2">
      <c r="A38" s="29" t="str">
        <f t="shared" si="0"/>
        <v> BBS 65 </v>
      </c>
      <c r="B38" s="16" t="str">
        <f t="shared" si="1"/>
        <v>I</v>
      </c>
      <c r="C38" s="29">
        <f t="shared" si="2"/>
        <v>45406.525000000001</v>
      </c>
      <c r="D38" t="str">
        <f t="shared" si="3"/>
        <v>vis</v>
      </c>
      <c r="E38">
        <f>VLOOKUP(C38,Active!C$21:E$972,3,FALSE)</f>
        <v>586.00217830633596</v>
      </c>
      <c r="F38" s="16" t="s">
        <v>115</v>
      </c>
      <c r="G38" t="str">
        <f t="shared" si="4"/>
        <v>45406.525</v>
      </c>
      <c r="H38" s="29">
        <f t="shared" si="5"/>
        <v>586</v>
      </c>
      <c r="I38" s="52" t="s">
        <v>213</v>
      </c>
      <c r="J38" s="53" t="s">
        <v>214</v>
      </c>
      <c r="K38" s="52">
        <v>586</v>
      </c>
      <c r="L38" s="52" t="s">
        <v>158</v>
      </c>
      <c r="M38" s="53" t="s">
        <v>119</v>
      </c>
      <c r="N38" s="53"/>
      <c r="O38" s="54" t="s">
        <v>129</v>
      </c>
      <c r="P38" s="54" t="s">
        <v>215</v>
      </c>
    </row>
    <row r="39" spans="1:16" ht="12.75" customHeight="1" x14ac:dyDescent="0.2">
      <c r="A39" s="29" t="str">
        <f t="shared" si="0"/>
        <v> BBS 66 </v>
      </c>
      <c r="B39" s="16" t="str">
        <f t="shared" si="1"/>
        <v>I</v>
      </c>
      <c r="C39" s="29">
        <f t="shared" si="2"/>
        <v>45464.472000000002</v>
      </c>
      <c r="D39" t="str">
        <f t="shared" si="3"/>
        <v>vis</v>
      </c>
      <c r="E39">
        <f>VLOOKUP(C39,Active!C$21:E$972,3,FALSE)</f>
        <v>618.00357705247893</v>
      </c>
      <c r="F39" s="16" t="s">
        <v>115</v>
      </c>
      <c r="G39" t="str">
        <f t="shared" si="4"/>
        <v>45464.472</v>
      </c>
      <c r="H39" s="29">
        <f t="shared" si="5"/>
        <v>618</v>
      </c>
      <c r="I39" s="52" t="s">
        <v>216</v>
      </c>
      <c r="J39" s="53" t="s">
        <v>217</v>
      </c>
      <c r="K39" s="52">
        <v>618</v>
      </c>
      <c r="L39" s="52" t="s">
        <v>161</v>
      </c>
      <c r="M39" s="53" t="s">
        <v>119</v>
      </c>
      <c r="N39" s="53"/>
      <c r="O39" s="54" t="s">
        <v>129</v>
      </c>
      <c r="P39" s="54" t="s">
        <v>218</v>
      </c>
    </row>
    <row r="40" spans="1:16" ht="12.75" customHeight="1" x14ac:dyDescent="0.2">
      <c r="A40" s="29" t="str">
        <f t="shared" si="0"/>
        <v> BBS 76 </v>
      </c>
      <c r="B40" s="16" t="str">
        <f t="shared" si="1"/>
        <v>I</v>
      </c>
      <c r="C40" s="29">
        <f t="shared" si="2"/>
        <v>46172.476999999999</v>
      </c>
      <c r="D40" t="str">
        <f t="shared" si="3"/>
        <v>vis</v>
      </c>
      <c r="E40">
        <f>VLOOKUP(C40,Active!C$21:E$972,3,FALSE)</f>
        <v>1009.001390904151</v>
      </c>
      <c r="F40" s="16" t="s">
        <v>115</v>
      </c>
      <c r="G40" t="str">
        <f t="shared" si="4"/>
        <v>46172.477</v>
      </c>
      <c r="H40" s="29">
        <f t="shared" si="5"/>
        <v>1009</v>
      </c>
      <c r="I40" s="52" t="s">
        <v>219</v>
      </c>
      <c r="J40" s="53" t="s">
        <v>220</v>
      </c>
      <c r="K40" s="52">
        <v>1009</v>
      </c>
      <c r="L40" s="52" t="s">
        <v>221</v>
      </c>
      <c r="M40" s="53" t="s">
        <v>119</v>
      </c>
      <c r="N40" s="53"/>
      <c r="O40" s="54" t="s">
        <v>120</v>
      </c>
      <c r="P40" s="54" t="s">
        <v>222</v>
      </c>
    </row>
    <row r="41" spans="1:16" ht="12.75" customHeight="1" x14ac:dyDescent="0.2">
      <c r="A41" s="29" t="str">
        <f t="shared" si="0"/>
        <v> BBS 84 </v>
      </c>
      <c r="B41" s="16" t="str">
        <f t="shared" si="1"/>
        <v>I</v>
      </c>
      <c r="C41" s="29">
        <f t="shared" si="2"/>
        <v>46938.432999999997</v>
      </c>
      <c r="D41" t="str">
        <f t="shared" si="3"/>
        <v>vis</v>
      </c>
      <c r="E41">
        <f>VLOOKUP(C41,Active!C$21:E$972,3,FALSE)</f>
        <v>1432.002812513563</v>
      </c>
      <c r="F41" s="16" t="s">
        <v>115</v>
      </c>
      <c r="G41" t="str">
        <f t="shared" si="4"/>
        <v>46938.433</v>
      </c>
      <c r="H41" s="29">
        <f t="shared" si="5"/>
        <v>1432</v>
      </c>
      <c r="I41" s="52" t="s">
        <v>223</v>
      </c>
      <c r="J41" s="53" t="s">
        <v>224</v>
      </c>
      <c r="K41" s="52">
        <v>1432</v>
      </c>
      <c r="L41" s="52" t="s">
        <v>225</v>
      </c>
      <c r="M41" s="53" t="s">
        <v>119</v>
      </c>
      <c r="N41" s="53"/>
      <c r="O41" s="54" t="s">
        <v>120</v>
      </c>
      <c r="P41" s="54" t="s">
        <v>226</v>
      </c>
    </row>
    <row r="42" spans="1:16" ht="12.75" customHeight="1" x14ac:dyDescent="0.2">
      <c r="A42" s="29" t="str">
        <f t="shared" si="0"/>
        <v> BBS 87 </v>
      </c>
      <c r="B42" s="16" t="str">
        <f t="shared" si="1"/>
        <v>II</v>
      </c>
      <c r="C42" s="29">
        <f t="shared" si="2"/>
        <v>47192.565999999999</v>
      </c>
      <c r="D42" t="str">
        <f t="shared" si="3"/>
        <v>vis</v>
      </c>
      <c r="E42">
        <f>VLOOKUP(C42,Active!C$21:E$972,3,FALSE)</f>
        <v>1572.3484985292944</v>
      </c>
      <c r="F42" s="16" t="s">
        <v>115</v>
      </c>
      <c r="G42" t="str">
        <f t="shared" si="4"/>
        <v>47192.566</v>
      </c>
      <c r="H42" s="29">
        <f t="shared" si="5"/>
        <v>1572.5</v>
      </c>
      <c r="I42" s="52" t="s">
        <v>227</v>
      </c>
      <c r="J42" s="53" t="s">
        <v>228</v>
      </c>
      <c r="K42" s="52">
        <v>1572.5</v>
      </c>
      <c r="L42" s="52" t="s">
        <v>229</v>
      </c>
      <c r="M42" s="53" t="s">
        <v>119</v>
      </c>
      <c r="N42" s="53"/>
      <c r="O42" s="54" t="s">
        <v>129</v>
      </c>
      <c r="P42" s="54" t="s">
        <v>230</v>
      </c>
    </row>
    <row r="43" spans="1:16" ht="12.75" customHeight="1" x14ac:dyDescent="0.2">
      <c r="A43" s="29" t="str">
        <f t="shared" ref="A43:A74" si="6">P43</f>
        <v> BBS 95 </v>
      </c>
      <c r="B43" s="16" t="str">
        <f t="shared" ref="B43:B74" si="7">IF(H43=INT(H43),"I","II")</f>
        <v>I</v>
      </c>
      <c r="C43" s="29">
        <f t="shared" ref="C43:C74" si="8">1*G43</f>
        <v>48001.362999999998</v>
      </c>
      <c r="D43" t="str">
        <f t="shared" ref="D43:D74" si="9">VLOOKUP(F43,I$1:J$5,2,FALSE)</f>
        <v>vis</v>
      </c>
      <c r="E43">
        <f>VLOOKUP(C43,Active!C$21:E$972,3,FALSE)</f>
        <v>2019.008986590525</v>
      </c>
      <c r="F43" s="16" t="s">
        <v>115</v>
      </c>
      <c r="G43" t="str">
        <f t="shared" ref="G43:G74" si="10">MID(I43,3,LEN(I43)-3)</f>
        <v>48001.363</v>
      </c>
      <c r="H43" s="29">
        <f t="shared" ref="H43:H74" si="11">1*K43</f>
        <v>2019</v>
      </c>
      <c r="I43" s="52" t="s">
        <v>231</v>
      </c>
      <c r="J43" s="53" t="s">
        <v>232</v>
      </c>
      <c r="K43" s="52">
        <v>2019</v>
      </c>
      <c r="L43" s="52" t="s">
        <v>233</v>
      </c>
      <c r="M43" s="53" t="s">
        <v>119</v>
      </c>
      <c r="N43" s="53"/>
      <c r="O43" s="54" t="s">
        <v>129</v>
      </c>
      <c r="P43" s="54" t="s">
        <v>234</v>
      </c>
    </row>
    <row r="44" spans="1:16" ht="12.75" customHeight="1" x14ac:dyDescent="0.2">
      <c r="A44" s="29" t="str">
        <f t="shared" si="6"/>
        <v> BBS 95 </v>
      </c>
      <c r="B44" s="16" t="str">
        <f t="shared" si="7"/>
        <v>I</v>
      </c>
      <c r="C44" s="29">
        <f t="shared" si="8"/>
        <v>48010.411999999997</v>
      </c>
      <c r="D44" t="str">
        <f t="shared" si="9"/>
        <v>vis</v>
      </c>
      <c r="E44">
        <f>VLOOKUP(C44,Active!C$21:E$972,3,FALSE)</f>
        <v>2024.0063230747919</v>
      </c>
      <c r="F44" s="16" t="s">
        <v>115</v>
      </c>
      <c r="G44" t="str">
        <f t="shared" si="10"/>
        <v>48010.412</v>
      </c>
      <c r="H44" s="29">
        <f t="shared" si="11"/>
        <v>2024</v>
      </c>
      <c r="I44" s="52" t="s">
        <v>235</v>
      </c>
      <c r="J44" s="53" t="s">
        <v>236</v>
      </c>
      <c r="K44" s="52">
        <v>2024</v>
      </c>
      <c r="L44" s="52" t="s">
        <v>225</v>
      </c>
      <c r="M44" s="53" t="s">
        <v>119</v>
      </c>
      <c r="N44" s="53"/>
      <c r="O44" s="54" t="s">
        <v>120</v>
      </c>
      <c r="P44" s="54" t="s">
        <v>234</v>
      </c>
    </row>
    <row r="45" spans="1:16" ht="12.75" customHeight="1" x14ac:dyDescent="0.2">
      <c r="A45" s="29" t="str">
        <f t="shared" si="6"/>
        <v> BBS 97 </v>
      </c>
      <c r="B45" s="16" t="str">
        <f t="shared" si="7"/>
        <v>I</v>
      </c>
      <c r="C45" s="29">
        <f t="shared" si="8"/>
        <v>48314.622000000003</v>
      </c>
      <c r="D45" t="str">
        <f t="shared" si="9"/>
        <v>vis</v>
      </c>
      <c r="E45">
        <f>VLOOKUP(C45,Active!C$21:E$972,3,FALSE)</f>
        <v>2192.007177520481</v>
      </c>
      <c r="F45" s="16" t="s">
        <v>115</v>
      </c>
      <c r="G45" t="str">
        <f t="shared" si="10"/>
        <v>48314.622</v>
      </c>
      <c r="H45" s="29">
        <f t="shared" si="11"/>
        <v>2192</v>
      </c>
      <c r="I45" s="52" t="s">
        <v>237</v>
      </c>
      <c r="J45" s="53" t="s">
        <v>238</v>
      </c>
      <c r="K45" s="52">
        <v>2192</v>
      </c>
      <c r="L45" s="52" t="s">
        <v>225</v>
      </c>
      <c r="M45" s="53" t="s">
        <v>119</v>
      </c>
      <c r="N45" s="53"/>
      <c r="O45" s="54" t="s">
        <v>129</v>
      </c>
      <c r="P45" s="54" t="s">
        <v>239</v>
      </c>
    </row>
    <row r="46" spans="1:16" ht="12.75" customHeight="1" x14ac:dyDescent="0.2">
      <c r="A46" s="29" t="str">
        <f t="shared" si="6"/>
        <v> BBS 106 </v>
      </c>
      <c r="B46" s="16" t="str">
        <f t="shared" si="7"/>
        <v>I</v>
      </c>
      <c r="C46" s="29">
        <f t="shared" si="8"/>
        <v>49395.644</v>
      </c>
      <c r="D46" t="str">
        <f t="shared" si="9"/>
        <v>vis</v>
      </c>
      <c r="E46">
        <f>VLOOKUP(C46,Active!C$21:E$972,3,FALSE)</f>
        <v>2789.0047110485812</v>
      </c>
      <c r="F46" s="16" t="s">
        <v>115</v>
      </c>
      <c r="G46" t="str">
        <f t="shared" si="10"/>
        <v>49395.644</v>
      </c>
      <c r="H46" s="29">
        <f t="shared" si="11"/>
        <v>2789</v>
      </c>
      <c r="I46" s="52" t="s">
        <v>240</v>
      </c>
      <c r="J46" s="53" t="s">
        <v>241</v>
      </c>
      <c r="K46" s="52">
        <v>2789</v>
      </c>
      <c r="L46" s="52" t="s">
        <v>242</v>
      </c>
      <c r="M46" s="53" t="s">
        <v>119</v>
      </c>
      <c r="N46" s="53"/>
      <c r="O46" s="54" t="s">
        <v>129</v>
      </c>
      <c r="P46" s="54" t="s">
        <v>243</v>
      </c>
    </row>
    <row r="47" spans="1:16" ht="12.75" customHeight="1" x14ac:dyDescent="0.2">
      <c r="A47" s="29" t="str">
        <f t="shared" si="6"/>
        <v> BBS 108 </v>
      </c>
      <c r="B47" s="16" t="str">
        <f t="shared" si="7"/>
        <v>I</v>
      </c>
      <c r="C47" s="29">
        <f t="shared" si="8"/>
        <v>49779.527000000002</v>
      </c>
      <c r="D47" t="str">
        <f t="shared" si="9"/>
        <v>vis</v>
      </c>
      <c r="E47">
        <f>VLOOKUP(C47,Active!C$21:E$972,3,FALSE)</f>
        <v>3001.0052107270053</v>
      </c>
      <c r="F47" s="16" t="s">
        <v>115</v>
      </c>
      <c r="G47" t="str">
        <f t="shared" si="10"/>
        <v>49779.527</v>
      </c>
      <c r="H47" s="29">
        <f t="shared" si="11"/>
        <v>3001</v>
      </c>
      <c r="I47" s="52" t="s">
        <v>244</v>
      </c>
      <c r="J47" s="53" t="s">
        <v>245</v>
      </c>
      <c r="K47" s="52">
        <v>3001</v>
      </c>
      <c r="L47" s="52" t="s">
        <v>246</v>
      </c>
      <c r="M47" s="53" t="s">
        <v>119</v>
      </c>
      <c r="N47" s="53"/>
      <c r="O47" s="54" t="s">
        <v>129</v>
      </c>
      <c r="P47" s="54" t="s">
        <v>247</v>
      </c>
    </row>
    <row r="48" spans="1:16" ht="12.75" customHeight="1" x14ac:dyDescent="0.2">
      <c r="A48" s="29" t="str">
        <f t="shared" si="6"/>
        <v> BBS 109 </v>
      </c>
      <c r="B48" s="16" t="str">
        <f t="shared" si="7"/>
        <v>I</v>
      </c>
      <c r="C48" s="29">
        <f t="shared" si="8"/>
        <v>49866.446000000004</v>
      </c>
      <c r="D48" t="str">
        <f t="shared" si="9"/>
        <v>vis</v>
      </c>
      <c r="E48">
        <f>VLOOKUP(C48,Active!C$21:E$972,3,FALSE)</f>
        <v>3049.0064804668718</v>
      </c>
      <c r="F48" s="16" t="str">
        <f>LEFT(M48,1)</f>
        <v>V</v>
      </c>
      <c r="G48" t="str">
        <f t="shared" si="10"/>
        <v>49866.446</v>
      </c>
      <c r="H48" s="29">
        <f t="shared" si="11"/>
        <v>3049</v>
      </c>
      <c r="I48" s="52" t="s">
        <v>248</v>
      </c>
      <c r="J48" s="53" t="s">
        <v>249</v>
      </c>
      <c r="K48" s="52">
        <v>3049</v>
      </c>
      <c r="L48" s="52" t="s">
        <v>250</v>
      </c>
      <c r="M48" s="53" t="s">
        <v>119</v>
      </c>
      <c r="N48" s="53"/>
      <c r="O48" s="54" t="s">
        <v>251</v>
      </c>
      <c r="P48" s="54" t="s">
        <v>252</v>
      </c>
    </row>
    <row r="49" spans="1:16" ht="12.75" customHeight="1" x14ac:dyDescent="0.2">
      <c r="A49" s="29" t="str">
        <f t="shared" si="6"/>
        <v> BBS 112 </v>
      </c>
      <c r="B49" s="16" t="str">
        <f t="shared" si="7"/>
        <v>I</v>
      </c>
      <c r="C49" s="29">
        <f t="shared" si="8"/>
        <v>50201.43</v>
      </c>
      <c r="D49" t="str">
        <f t="shared" si="9"/>
        <v>vis</v>
      </c>
      <c r="E49">
        <f>VLOOKUP(C49,Active!C$21:E$972,3,FALSE)</f>
        <v>3234.0023656305189</v>
      </c>
      <c r="F49" s="16" t="str">
        <f>LEFT(M49,1)</f>
        <v>V</v>
      </c>
      <c r="G49" t="str">
        <f t="shared" si="10"/>
        <v>50201.430</v>
      </c>
      <c r="H49" s="29">
        <f t="shared" si="11"/>
        <v>3234</v>
      </c>
      <c r="I49" s="52" t="s">
        <v>253</v>
      </c>
      <c r="J49" s="53" t="s">
        <v>254</v>
      </c>
      <c r="K49" s="52">
        <v>3234</v>
      </c>
      <c r="L49" s="52" t="s">
        <v>255</v>
      </c>
      <c r="M49" s="53" t="s">
        <v>119</v>
      </c>
      <c r="N49" s="53"/>
      <c r="O49" s="54" t="s">
        <v>129</v>
      </c>
      <c r="P49" s="54" t="s">
        <v>256</v>
      </c>
    </row>
    <row r="50" spans="1:16" ht="12.75" customHeight="1" x14ac:dyDescent="0.2">
      <c r="A50" s="29" t="str">
        <f t="shared" si="6"/>
        <v> BBS 114 </v>
      </c>
      <c r="B50" s="16" t="str">
        <f t="shared" si="7"/>
        <v>I</v>
      </c>
      <c r="C50" s="29">
        <f t="shared" si="8"/>
        <v>50525.563000000002</v>
      </c>
      <c r="D50" t="str">
        <f t="shared" si="9"/>
        <v>vis</v>
      </c>
      <c r="E50">
        <f>VLOOKUP(C50,Active!C$21:E$972,3,FALSE)</f>
        <v>3413.0057545856603</v>
      </c>
      <c r="F50" s="16" t="str">
        <f>LEFT(M50,1)</f>
        <v>V</v>
      </c>
      <c r="G50" t="str">
        <f t="shared" si="10"/>
        <v>50525.563</v>
      </c>
      <c r="H50" s="29">
        <f t="shared" si="11"/>
        <v>3413</v>
      </c>
      <c r="I50" s="52" t="s">
        <v>257</v>
      </c>
      <c r="J50" s="53" t="s">
        <v>258</v>
      </c>
      <c r="K50" s="52">
        <v>3413</v>
      </c>
      <c r="L50" s="52" t="s">
        <v>259</v>
      </c>
      <c r="M50" s="53" t="s">
        <v>119</v>
      </c>
      <c r="N50" s="53"/>
      <c r="O50" s="54" t="s">
        <v>129</v>
      </c>
      <c r="P50" s="54" t="s">
        <v>260</v>
      </c>
    </row>
    <row r="51" spans="1:16" ht="12.75" customHeight="1" x14ac:dyDescent="0.2">
      <c r="A51" s="29" t="str">
        <f t="shared" si="6"/>
        <v> BBS 119 </v>
      </c>
      <c r="B51" s="16" t="str">
        <f t="shared" si="7"/>
        <v>I</v>
      </c>
      <c r="C51" s="29">
        <f t="shared" si="8"/>
        <v>51184.68</v>
      </c>
      <c r="D51" t="str">
        <f t="shared" si="9"/>
        <v>vis</v>
      </c>
      <c r="E51">
        <f>VLOOKUP(C51,Active!C$21:E$972,3,FALSE)</f>
        <v>3777.0050287044492</v>
      </c>
      <c r="F51" s="16" t="str">
        <f>LEFT(M51,1)</f>
        <v>V</v>
      </c>
      <c r="G51" t="str">
        <f t="shared" si="10"/>
        <v>51184.680</v>
      </c>
      <c r="H51" s="29">
        <f t="shared" si="11"/>
        <v>3777</v>
      </c>
      <c r="I51" s="52" t="s">
        <v>261</v>
      </c>
      <c r="J51" s="53" t="s">
        <v>262</v>
      </c>
      <c r="K51" s="52">
        <v>3777</v>
      </c>
      <c r="L51" s="52" t="s">
        <v>263</v>
      </c>
      <c r="M51" s="53" t="s">
        <v>119</v>
      </c>
      <c r="N51" s="53"/>
      <c r="O51" s="54" t="s">
        <v>129</v>
      </c>
      <c r="P51" s="54" t="s">
        <v>264</v>
      </c>
    </row>
    <row r="52" spans="1:16" ht="12.75" customHeight="1" x14ac:dyDescent="0.2">
      <c r="A52" s="29" t="str">
        <f t="shared" si="6"/>
        <v> BBS 129 </v>
      </c>
      <c r="B52" s="16" t="str">
        <f t="shared" si="7"/>
        <v>I</v>
      </c>
      <c r="C52" s="29">
        <f t="shared" si="8"/>
        <v>52658.644999999997</v>
      </c>
      <c r="D52" t="str">
        <f t="shared" si="9"/>
        <v>vis</v>
      </c>
      <c r="E52">
        <f>VLOOKUP(C52,Active!C$21:E$972,3,FALSE)</f>
        <v>4591.0064731771299</v>
      </c>
      <c r="F52" s="16" t="s">
        <v>115</v>
      </c>
      <c r="G52" t="str">
        <f t="shared" si="10"/>
        <v>52658.645</v>
      </c>
      <c r="H52" s="29">
        <f t="shared" si="11"/>
        <v>4591</v>
      </c>
      <c r="I52" s="52" t="s">
        <v>265</v>
      </c>
      <c r="J52" s="53" t="s">
        <v>266</v>
      </c>
      <c r="K52" s="52">
        <v>4591</v>
      </c>
      <c r="L52" s="52" t="s">
        <v>267</v>
      </c>
      <c r="M52" s="53" t="s">
        <v>119</v>
      </c>
      <c r="N52" s="53"/>
      <c r="O52" s="54" t="s">
        <v>129</v>
      </c>
      <c r="P52" s="54" t="s">
        <v>268</v>
      </c>
    </row>
    <row r="53" spans="1:16" ht="12.75" customHeight="1" x14ac:dyDescent="0.2">
      <c r="A53" s="29" t="str">
        <f t="shared" si="6"/>
        <v> BBS 130 </v>
      </c>
      <c r="B53" s="16" t="str">
        <f t="shared" si="7"/>
        <v>I</v>
      </c>
      <c r="C53" s="29">
        <f t="shared" si="8"/>
        <v>53060.635000000002</v>
      </c>
      <c r="D53" t="str">
        <f t="shared" si="9"/>
        <v>vis</v>
      </c>
      <c r="E53">
        <f>VLOOKUP(C53,Active!C$21:E$972,3,FALSE)</f>
        <v>4813.0066161001832</v>
      </c>
      <c r="F53" s="16" t="s">
        <v>115</v>
      </c>
      <c r="G53" t="str">
        <f t="shared" si="10"/>
        <v>53060.635</v>
      </c>
      <c r="H53" s="29">
        <f t="shared" si="11"/>
        <v>4813</v>
      </c>
      <c r="I53" s="52" t="s">
        <v>269</v>
      </c>
      <c r="J53" s="53" t="s">
        <v>270</v>
      </c>
      <c r="K53" s="52">
        <v>4813</v>
      </c>
      <c r="L53" s="52" t="s">
        <v>271</v>
      </c>
      <c r="M53" s="53" t="s">
        <v>119</v>
      </c>
      <c r="N53" s="53"/>
      <c r="O53" s="54" t="s">
        <v>129</v>
      </c>
      <c r="P53" s="54" t="s">
        <v>272</v>
      </c>
    </row>
    <row r="54" spans="1:16" ht="12.75" customHeight="1" x14ac:dyDescent="0.2">
      <c r="A54" s="29" t="str">
        <f t="shared" si="6"/>
        <v>IBVS 5843 </v>
      </c>
      <c r="B54" s="16" t="str">
        <f t="shared" si="7"/>
        <v>I</v>
      </c>
      <c r="C54" s="29">
        <f t="shared" si="8"/>
        <v>53480.727899999998</v>
      </c>
      <c r="D54" t="str">
        <f t="shared" si="9"/>
        <v>vis</v>
      </c>
      <c r="E54">
        <f>VLOOKUP(C54,Active!C$21:E$972,3,FALSE)</f>
        <v>5045.0041380309722</v>
      </c>
      <c r="F54" s="16" t="s">
        <v>115</v>
      </c>
      <c r="G54" t="str">
        <f t="shared" si="10"/>
        <v>53480.7279</v>
      </c>
      <c r="H54" s="29">
        <f t="shared" si="11"/>
        <v>5045</v>
      </c>
      <c r="I54" s="52" t="s">
        <v>273</v>
      </c>
      <c r="J54" s="53" t="s">
        <v>274</v>
      </c>
      <c r="K54" s="52">
        <v>5045</v>
      </c>
      <c r="L54" s="52" t="s">
        <v>275</v>
      </c>
      <c r="M54" s="53" t="s">
        <v>276</v>
      </c>
      <c r="N54" s="53" t="s">
        <v>277</v>
      </c>
      <c r="O54" s="54" t="s">
        <v>278</v>
      </c>
      <c r="P54" s="55" t="s">
        <v>279</v>
      </c>
    </row>
    <row r="55" spans="1:16" ht="12.75" customHeight="1" x14ac:dyDescent="0.2">
      <c r="A55" s="29" t="str">
        <f t="shared" si="6"/>
        <v>IBVS 5988 </v>
      </c>
      <c r="B55" s="16" t="str">
        <f t="shared" si="7"/>
        <v>I</v>
      </c>
      <c r="C55" s="29">
        <f t="shared" si="8"/>
        <v>55311.415300000001</v>
      </c>
      <c r="D55" t="str">
        <f t="shared" si="9"/>
        <v>vis</v>
      </c>
      <c r="E55">
        <f>VLOOKUP(C55,Active!C$21:E$972,3,FALSE)</f>
        <v>6056.0065620898486</v>
      </c>
      <c r="F55" s="16" t="s">
        <v>115</v>
      </c>
      <c r="G55" t="str">
        <f t="shared" si="10"/>
        <v>55311.4153</v>
      </c>
      <c r="H55" s="29">
        <f t="shared" si="11"/>
        <v>6056</v>
      </c>
      <c r="I55" s="52" t="s">
        <v>280</v>
      </c>
      <c r="J55" s="53" t="s">
        <v>281</v>
      </c>
      <c r="K55" s="52" t="s">
        <v>282</v>
      </c>
      <c r="L55" s="52" t="s">
        <v>283</v>
      </c>
      <c r="M55" s="53" t="s">
        <v>276</v>
      </c>
      <c r="N55" s="53" t="s">
        <v>284</v>
      </c>
      <c r="O55" s="54" t="s">
        <v>285</v>
      </c>
      <c r="P55" s="55" t="s">
        <v>286</v>
      </c>
    </row>
    <row r="56" spans="1:16" ht="12.75" customHeight="1" x14ac:dyDescent="0.2">
      <c r="A56" s="29" t="str">
        <f t="shared" si="6"/>
        <v>OEJV 0147 </v>
      </c>
      <c r="B56" s="16" t="str">
        <f t="shared" si="7"/>
        <v>I</v>
      </c>
      <c r="C56" s="29">
        <f t="shared" si="8"/>
        <v>55979.59</v>
      </c>
      <c r="D56" t="str">
        <f t="shared" si="9"/>
        <v>vis</v>
      </c>
      <c r="E56">
        <f>VLOOKUP(C56,Active!C$21:E$972,3,FALSE)</f>
        <v>6425.0079772931258</v>
      </c>
      <c r="F56" s="16" t="s">
        <v>115</v>
      </c>
      <c r="G56" t="str">
        <f t="shared" si="10"/>
        <v>55979.59</v>
      </c>
      <c r="H56" s="29">
        <f t="shared" si="11"/>
        <v>6425</v>
      </c>
      <c r="I56" s="52" t="s">
        <v>287</v>
      </c>
      <c r="J56" s="53" t="s">
        <v>288</v>
      </c>
      <c r="K56" s="52" t="s">
        <v>289</v>
      </c>
      <c r="L56" s="52" t="s">
        <v>290</v>
      </c>
      <c r="M56" s="53" t="s">
        <v>276</v>
      </c>
      <c r="N56" s="53" t="s">
        <v>291</v>
      </c>
      <c r="O56" s="54" t="s">
        <v>292</v>
      </c>
      <c r="P56" s="55" t="s">
        <v>293</v>
      </c>
    </row>
    <row r="57" spans="1:16" ht="12.75" customHeight="1" x14ac:dyDescent="0.2">
      <c r="A57" s="29" t="str">
        <f t="shared" si="6"/>
        <v> HB 844.7 </v>
      </c>
      <c r="B57" s="16" t="str">
        <f t="shared" si="7"/>
        <v>I</v>
      </c>
      <c r="C57" s="29">
        <f t="shared" si="8"/>
        <v>15111.663</v>
      </c>
      <c r="D57" t="str">
        <f t="shared" si="9"/>
        <v>vis</v>
      </c>
      <c r="E57">
        <f>VLOOKUP(C57,Active!C$21:E$972,3,FALSE)</f>
        <v>-16144.4231900712</v>
      </c>
      <c r="F57" s="16" t="s">
        <v>115</v>
      </c>
      <c r="G57" t="str">
        <f t="shared" si="10"/>
        <v>15111.663</v>
      </c>
      <c r="H57" s="29">
        <f t="shared" si="11"/>
        <v>-16145</v>
      </c>
      <c r="I57" s="52" t="s">
        <v>294</v>
      </c>
      <c r="J57" s="53" t="s">
        <v>295</v>
      </c>
      <c r="K57" s="52">
        <v>-16145</v>
      </c>
      <c r="L57" s="52" t="s">
        <v>296</v>
      </c>
      <c r="M57" s="53" t="s">
        <v>297</v>
      </c>
      <c r="N57" s="53"/>
      <c r="O57" s="54" t="s">
        <v>298</v>
      </c>
      <c r="P57" s="54" t="s">
        <v>43</v>
      </c>
    </row>
    <row r="58" spans="1:16" ht="12.75" customHeight="1" x14ac:dyDescent="0.2">
      <c r="A58" s="29" t="str">
        <f t="shared" si="6"/>
        <v> HB 844.7 </v>
      </c>
      <c r="B58" s="16" t="str">
        <f t="shared" si="7"/>
        <v>I</v>
      </c>
      <c r="C58" s="29">
        <f t="shared" si="8"/>
        <v>15886.602000000001</v>
      </c>
      <c r="D58" t="str">
        <f t="shared" si="9"/>
        <v>vis</v>
      </c>
      <c r="E58">
        <f>VLOOKUP(C58,Active!C$21:E$972,3,FALSE)</f>
        <v>-15716.460880668863</v>
      </c>
      <c r="F58" s="16" t="s">
        <v>115</v>
      </c>
      <c r="G58" t="str">
        <f t="shared" si="10"/>
        <v>15886.602</v>
      </c>
      <c r="H58" s="29">
        <f t="shared" si="11"/>
        <v>-15717</v>
      </c>
      <c r="I58" s="52" t="s">
        <v>299</v>
      </c>
      <c r="J58" s="53" t="s">
        <v>300</v>
      </c>
      <c r="K58" s="52">
        <v>-15717</v>
      </c>
      <c r="L58" s="52" t="s">
        <v>301</v>
      </c>
      <c r="M58" s="53" t="s">
        <v>297</v>
      </c>
      <c r="N58" s="53"/>
      <c r="O58" s="54" t="s">
        <v>298</v>
      </c>
      <c r="P58" s="54" t="s">
        <v>43</v>
      </c>
    </row>
    <row r="59" spans="1:16" ht="12.75" customHeight="1" x14ac:dyDescent="0.2">
      <c r="A59" s="29" t="str">
        <f t="shared" si="6"/>
        <v> HB 844.7 </v>
      </c>
      <c r="B59" s="16" t="str">
        <f t="shared" si="7"/>
        <v>I</v>
      </c>
      <c r="C59" s="29">
        <f t="shared" si="8"/>
        <v>16230.589</v>
      </c>
      <c r="D59" t="str">
        <f t="shared" si="9"/>
        <v>vis</v>
      </c>
      <c r="E59">
        <f>VLOOKUP(C59,Active!C$21:E$972,3,FALSE)</f>
        <v>-15526.493062654306</v>
      </c>
      <c r="F59" s="16" t="s">
        <v>115</v>
      </c>
      <c r="G59" t="str">
        <f t="shared" si="10"/>
        <v>16230.589</v>
      </c>
      <c r="H59" s="29">
        <f t="shared" si="11"/>
        <v>-15527</v>
      </c>
      <c r="I59" s="52" t="s">
        <v>302</v>
      </c>
      <c r="J59" s="53" t="s">
        <v>303</v>
      </c>
      <c r="K59" s="52">
        <v>-15527</v>
      </c>
      <c r="L59" s="52" t="s">
        <v>304</v>
      </c>
      <c r="M59" s="53" t="s">
        <v>297</v>
      </c>
      <c r="N59" s="53"/>
      <c r="O59" s="54" t="s">
        <v>298</v>
      </c>
      <c r="P59" s="54" t="s">
        <v>43</v>
      </c>
    </row>
    <row r="60" spans="1:16" ht="12.75" customHeight="1" x14ac:dyDescent="0.2">
      <c r="A60" s="29" t="str">
        <f t="shared" si="6"/>
        <v> HB 844.7 </v>
      </c>
      <c r="B60" s="16" t="str">
        <f t="shared" si="7"/>
        <v>I</v>
      </c>
      <c r="C60" s="29">
        <f t="shared" si="8"/>
        <v>16250.565000000001</v>
      </c>
      <c r="D60" t="str">
        <f t="shared" si="9"/>
        <v>vis</v>
      </c>
      <c r="E60">
        <f>VLOOKUP(C60,Active!C$21:E$972,3,FALSE)</f>
        <v>-15515.461258741196</v>
      </c>
      <c r="F60" s="16" t="s">
        <v>115</v>
      </c>
      <c r="G60" t="str">
        <f t="shared" si="10"/>
        <v>16250.565</v>
      </c>
      <c r="H60" s="29">
        <f t="shared" si="11"/>
        <v>-15516</v>
      </c>
      <c r="I60" s="52" t="s">
        <v>305</v>
      </c>
      <c r="J60" s="53" t="s">
        <v>306</v>
      </c>
      <c r="K60" s="52">
        <v>-15516</v>
      </c>
      <c r="L60" s="52" t="s">
        <v>307</v>
      </c>
      <c r="M60" s="53" t="s">
        <v>297</v>
      </c>
      <c r="N60" s="53"/>
      <c r="O60" s="54" t="s">
        <v>298</v>
      </c>
      <c r="P60" s="54" t="s">
        <v>43</v>
      </c>
    </row>
    <row r="61" spans="1:16" ht="12.75" customHeight="1" x14ac:dyDescent="0.2">
      <c r="A61" s="29" t="str">
        <f t="shared" si="6"/>
        <v> HB 844.7 </v>
      </c>
      <c r="B61" s="16" t="str">
        <f t="shared" si="7"/>
        <v>I</v>
      </c>
      <c r="C61" s="29">
        <f t="shared" si="8"/>
        <v>17242.774000000001</v>
      </c>
      <c r="D61" t="str">
        <f t="shared" si="9"/>
        <v>vis</v>
      </c>
      <c r="E61">
        <f>VLOOKUP(C61,Active!C$21:E$972,3,FALSE)</f>
        <v>-14967.510961943921</v>
      </c>
      <c r="F61" s="16" t="s">
        <v>115</v>
      </c>
      <c r="G61" t="str">
        <f t="shared" si="10"/>
        <v>17242.774</v>
      </c>
      <c r="H61" s="29">
        <f t="shared" si="11"/>
        <v>-14968</v>
      </c>
      <c r="I61" s="52" t="s">
        <v>308</v>
      </c>
      <c r="J61" s="53" t="s">
        <v>309</v>
      </c>
      <c r="K61" s="52">
        <v>-14968</v>
      </c>
      <c r="L61" s="52" t="s">
        <v>310</v>
      </c>
      <c r="M61" s="53" t="s">
        <v>297</v>
      </c>
      <c r="N61" s="53"/>
      <c r="O61" s="54" t="s">
        <v>298</v>
      </c>
      <c r="P61" s="54" t="s">
        <v>43</v>
      </c>
    </row>
    <row r="62" spans="1:16" ht="12.75" customHeight="1" x14ac:dyDescent="0.2">
      <c r="A62" s="29" t="str">
        <f t="shared" si="6"/>
        <v> HB 844.7 </v>
      </c>
      <c r="B62" s="16" t="str">
        <f t="shared" si="7"/>
        <v>I</v>
      </c>
      <c r="C62" s="29">
        <f t="shared" si="8"/>
        <v>18468.620999999999</v>
      </c>
      <c r="D62" t="str">
        <f t="shared" si="9"/>
        <v>vis</v>
      </c>
      <c r="E62">
        <f>VLOOKUP(C62,Active!C$21:E$972,3,FALSE)</f>
        <v>-14290.533402298677</v>
      </c>
      <c r="F62" s="16" t="s">
        <v>115</v>
      </c>
      <c r="G62" t="str">
        <f t="shared" si="10"/>
        <v>18468.621</v>
      </c>
      <c r="H62" s="29">
        <f t="shared" si="11"/>
        <v>-14291</v>
      </c>
      <c r="I62" s="52" t="s">
        <v>311</v>
      </c>
      <c r="J62" s="53" t="s">
        <v>312</v>
      </c>
      <c r="K62" s="52">
        <v>-14291</v>
      </c>
      <c r="L62" s="52" t="s">
        <v>313</v>
      </c>
      <c r="M62" s="53" t="s">
        <v>297</v>
      </c>
      <c r="N62" s="53"/>
      <c r="O62" s="54" t="s">
        <v>298</v>
      </c>
      <c r="P62" s="54" t="s">
        <v>43</v>
      </c>
    </row>
    <row r="63" spans="1:16" ht="12.75" customHeight="1" x14ac:dyDescent="0.2">
      <c r="A63" s="29" t="str">
        <f t="shared" si="6"/>
        <v> HB 844.7 </v>
      </c>
      <c r="B63" s="16" t="str">
        <f t="shared" si="7"/>
        <v>I</v>
      </c>
      <c r="C63" s="29">
        <f t="shared" si="8"/>
        <v>19234.504000000001</v>
      </c>
      <c r="D63" t="str">
        <f t="shared" si="9"/>
        <v>vis</v>
      </c>
      <c r="E63">
        <f>VLOOKUP(C63,Active!C$21:E$972,3,FALSE)</f>
        <v>-13867.5722951509</v>
      </c>
      <c r="F63" s="16" t="s">
        <v>115</v>
      </c>
      <c r="G63" t="str">
        <f t="shared" si="10"/>
        <v>19234.504</v>
      </c>
      <c r="H63" s="29">
        <f t="shared" si="11"/>
        <v>-13868</v>
      </c>
      <c r="I63" s="52" t="s">
        <v>314</v>
      </c>
      <c r="J63" s="53" t="s">
        <v>315</v>
      </c>
      <c r="K63" s="52">
        <v>-13868</v>
      </c>
      <c r="L63" s="52" t="s">
        <v>316</v>
      </c>
      <c r="M63" s="53" t="s">
        <v>297</v>
      </c>
      <c r="N63" s="53"/>
      <c r="O63" s="54" t="s">
        <v>298</v>
      </c>
      <c r="P63" s="54" t="s">
        <v>43</v>
      </c>
    </row>
    <row r="64" spans="1:16" ht="12.75" customHeight="1" x14ac:dyDescent="0.2">
      <c r="A64" s="29" t="str">
        <f t="shared" si="6"/>
        <v> HB 844.7 </v>
      </c>
      <c r="B64" s="16" t="str">
        <f t="shared" si="7"/>
        <v>I</v>
      </c>
      <c r="C64" s="29">
        <f t="shared" si="8"/>
        <v>19460.830999999998</v>
      </c>
      <c r="D64" t="str">
        <f t="shared" si="9"/>
        <v>vis</v>
      </c>
      <c r="E64">
        <f>VLOOKUP(C64,Active!C$21:E$972,3,FALSE)</f>
        <v>-13742.582553248501</v>
      </c>
      <c r="F64" s="16" t="s">
        <v>115</v>
      </c>
      <c r="G64" t="str">
        <f t="shared" si="10"/>
        <v>19460.831</v>
      </c>
      <c r="H64" s="29">
        <f t="shared" si="11"/>
        <v>-13743</v>
      </c>
      <c r="I64" s="52" t="s">
        <v>317</v>
      </c>
      <c r="J64" s="53" t="s">
        <v>318</v>
      </c>
      <c r="K64" s="52">
        <v>-13743</v>
      </c>
      <c r="L64" s="52" t="s">
        <v>319</v>
      </c>
      <c r="M64" s="53" t="s">
        <v>297</v>
      </c>
      <c r="N64" s="53"/>
      <c r="O64" s="54" t="s">
        <v>298</v>
      </c>
      <c r="P64" s="54" t="s">
        <v>43</v>
      </c>
    </row>
    <row r="65" spans="1:16" ht="12.75" customHeight="1" x14ac:dyDescent="0.2">
      <c r="A65" s="29" t="str">
        <f t="shared" si="6"/>
        <v> HB 844.7 </v>
      </c>
      <c r="B65" s="16" t="str">
        <f t="shared" si="7"/>
        <v>I</v>
      </c>
      <c r="C65" s="29">
        <f t="shared" si="8"/>
        <v>19558.631000000001</v>
      </c>
      <c r="D65" t="str">
        <f t="shared" si="9"/>
        <v>vis</v>
      </c>
      <c r="E65">
        <f>VLOOKUP(C65,Active!C$21:E$972,3,FALSE)</f>
        <v>-13688.572219713153</v>
      </c>
      <c r="F65" s="16" t="s">
        <v>115</v>
      </c>
      <c r="G65" t="str">
        <f t="shared" si="10"/>
        <v>19558.631</v>
      </c>
      <c r="H65" s="29">
        <f t="shared" si="11"/>
        <v>-13689</v>
      </c>
      <c r="I65" s="52" t="s">
        <v>320</v>
      </c>
      <c r="J65" s="53" t="s">
        <v>321</v>
      </c>
      <c r="K65" s="52">
        <v>-13689</v>
      </c>
      <c r="L65" s="52" t="s">
        <v>322</v>
      </c>
      <c r="M65" s="53" t="s">
        <v>297</v>
      </c>
      <c r="N65" s="53"/>
      <c r="O65" s="54" t="s">
        <v>298</v>
      </c>
      <c r="P65" s="54" t="s">
        <v>43</v>
      </c>
    </row>
    <row r="66" spans="1:16" ht="12.75" customHeight="1" x14ac:dyDescent="0.2">
      <c r="A66" s="29" t="str">
        <f t="shared" si="6"/>
        <v> HB 844.7 </v>
      </c>
      <c r="B66" s="16" t="str">
        <f t="shared" si="7"/>
        <v>I</v>
      </c>
      <c r="C66" s="29">
        <f t="shared" si="8"/>
        <v>19942.512999999999</v>
      </c>
      <c r="D66" t="str">
        <f t="shared" si="9"/>
        <v>vis</v>
      </c>
      <c r="E66">
        <f>VLOOKUP(C66,Active!C$21:E$972,3,FALSE)</f>
        <v>-13476.572272287631</v>
      </c>
      <c r="F66" s="16" t="s">
        <v>115</v>
      </c>
      <c r="G66" t="str">
        <f t="shared" si="10"/>
        <v>19942.513</v>
      </c>
      <c r="H66" s="29">
        <f t="shared" si="11"/>
        <v>-13477</v>
      </c>
      <c r="I66" s="52" t="s">
        <v>323</v>
      </c>
      <c r="J66" s="53" t="s">
        <v>324</v>
      </c>
      <c r="K66" s="52">
        <v>-13477</v>
      </c>
      <c r="L66" s="52" t="s">
        <v>325</v>
      </c>
      <c r="M66" s="53" t="s">
        <v>297</v>
      </c>
      <c r="N66" s="53"/>
      <c r="O66" s="54" t="s">
        <v>298</v>
      </c>
      <c r="P66" s="54" t="s">
        <v>43</v>
      </c>
    </row>
    <row r="67" spans="1:16" ht="12.75" customHeight="1" x14ac:dyDescent="0.2">
      <c r="A67" s="29" t="str">
        <f t="shared" si="6"/>
        <v> HB 844.7 </v>
      </c>
      <c r="B67" s="16" t="str">
        <f t="shared" si="7"/>
        <v>I</v>
      </c>
      <c r="C67" s="29">
        <f t="shared" si="8"/>
        <v>19951.526999999998</v>
      </c>
      <c r="D67" t="str">
        <f t="shared" si="9"/>
        <v>vis</v>
      </c>
      <c r="E67">
        <f>VLOOKUP(C67,Active!C$21:E$972,3,FALSE)</f>
        <v>-13471.594264654834</v>
      </c>
      <c r="F67" s="16" t="s">
        <v>115</v>
      </c>
      <c r="G67" t="str">
        <f t="shared" si="10"/>
        <v>19951.527</v>
      </c>
      <c r="H67" s="29">
        <f t="shared" si="11"/>
        <v>-13472</v>
      </c>
      <c r="I67" s="52" t="s">
        <v>326</v>
      </c>
      <c r="J67" s="53" t="s">
        <v>327</v>
      </c>
      <c r="K67" s="52">
        <v>-13472</v>
      </c>
      <c r="L67" s="52" t="s">
        <v>328</v>
      </c>
      <c r="M67" s="53" t="s">
        <v>297</v>
      </c>
      <c r="N67" s="53"/>
      <c r="O67" s="54" t="s">
        <v>298</v>
      </c>
      <c r="P67" s="54" t="s">
        <v>43</v>
      </c>
    </row>
    <row r="68" spans="1:16" ht="12.75" customHeight="1" x14ac:dyDescent="0.2">
      <c r="A68" s="29" t="str">
        <f t="shared" si="6"/>
        <v> HB 844.7 </v>
      </c>
      <c r="B68" s="16" t="str">
        <f t="shared" si="7"/>
        <v>I</v>
      </c>
      <c r="C68" s="29">
        <f t="shared" si="8"/>
        <v>20954.695</v>
      </c>
      <c r="D68" t="str">
        <f t="shared" si="9"/>
        <v>vis</v>
      </c>
      <c r="E68">
        <f>VLOOKUP(C68,Active!C$21:E$972,3,FALSE)</f>
        <v>-12917.591828335942</v>
      </c>
      <c r="F68" s="16" t="s">
        <v>115</v>
      </c>
      <c r="G68" t="str">
        <f t="shared" si="10"/>
        <v>20954.695</v>
      </c>
      <c r="H68" s="29">
        <f t="shared" si="11"/>
        <v>-12918</v>
      </c>
      <c r="I68" s="52" t="s">
        <v>329</v>
      </c>
      <c r="J68" s="53" t="s">
        <v>330</v>
      </c>
      <c r="K68" s="52">
        <v>-12918</v>
      </c>
      <c r="L68" s="52" t="s">
        <v>331</v>
      </c>
      <c r="M68" s="53" t="s">
        <v>297</v>
      </c>
      <c r="N68" s="53"/>
      <c r="O68" s="54" t="s">
        <v>298</v>
      </c>
      <c r="P68" s="54" t="s">
        <v>43</v>
      </c>
    </row>
    <row r="69" spans="1:16" ht="12.75" customHeight="1" x14ac:dyDescent="0.2">
      <c r="A69" s="29" t="str">
        <f t="shared" si="6"/>
        <v> HB 844.7 </v>
      </c>
      <c r="B69" s="16" t="str">
        <f t="shared" si="7"/>
        <v>I</v>
      </c>
      <c r="C69" s="29">
        <f t="shared" si="8"/>
        <v>21220.873</v>
      </c>
      <c r="D69" t="str">
        <f t="shared" si="9"/>
        <v>vis</v>
      </c>
      <c r="E69">
        <f>VLOOKUP(C69,Active!C$21:E$972,3,FALSE)</f>
        <v>-12770.594256150138</v>
      </c>
      <c r="F69" s="16" t="s">
        <v>115</v>
      </c>
      <c r="G69" t="str">
        <f t="shared" si="10"/>
        <v>21220.873</v>
      </c>
      <c r="H69" s="29">
        <f t="shared" si="11"/>
        <v>-12771</v>
      </c>
      <c r="I69" s="52" t="s">
        <v>332</v>
      </c>
      <c r="J69" s="53" t="s">
        <v>333</v>
      </c>
      <c r="K69" s="52">
        <v>-12771</v>
      </c>
      <c r="L69" s="52" t="s">
        <v>334</v>
      </c>
      <c r="M69" s="53" t="s">
        <v>297</v>
      </c>
      <c r="N69" s="53"/>
      <c r="O69" s="54" t="s">
        <v>298</v>
      </c>
      <c r="P69" s="54" t="s">
        <v>43</v>
      </c>
    </row>
    <row r="70" spans="1:16" ht="12.75" customHeight="1" x14ac:dyDescent="0.2">
      <c r="A70" s="29" t="str">
        <f t="shared" si="6"/>
        <v> HB 844.7 </v>
      </c>
      <c r="B70" s="16" t="str">
        <f t="shared" si="7"/>
        <v>I</v>
      </c>
      <c r="C70" s="29">
        <f t="shared" si="8"/>
        <v>21336.723000000002</v>
      </c>
      <c r="D70" t="str">
        <f t="shared" si="9"/>
        <v>vis</v>
      </c>
      <c r="E70">
        <f>VLOOKUP(C70,Active!C$21:E$972,3,FALSE)</f>
        <v>-12706.615757785412</v>
      </c>
      <c r="F70" s="16" t="s">
        <v>115</v>
      </c>
      <c r="G70" t="str">
        <f t="shared" si="10"/>
        <v>21336.723</v>
      </c>
      <c r="H70" s="29">
        <f t="shared" si="11"/>
        <v>-12707</v>
      </c>
      <c r="I70" s="52" t="s">
        <v>335</v>
      </c>
      <c r="J70" s="53" t="s">
        <v>336</v>
      </c>
      <c r="K70" s="52">
        <v>-12707</v>
      </c>
      <c r="L70" s="52" t="s">
        <v>337</v>
      </c>
      <c r="M70" s="53" t="s">
        <v>297</v>
      </c>
      <c r="N70" s="53"/>
      <c r="O70" s="54" t="s">
        <v>298</v>
      </c>
      <c r="P70" s="54" t="s">
        <v>43</v>
      </c>
    </row>
    <row r="71" spans="1:16" ht="12.75" customHeight="1" x14ac:dyDescent="0.2">
      <c r="A71" s="29" t="str">
        <f t="shared" si="6"/>
        <v> HB 844.7 </v>
      </c>
      <c r="B71" s="16" t="str">
        <f t="shared" si="7"/>
        <v>I</v>
      </c>
      <c r="C71" s="29">
        <f t="shared" si="8"/>
        <v>21660.798999999999</v>
      </c>
      <c r="D71" t="str">
        <f t="shared" si="9"/>
        <v>vis</v>
      </c>
      <c r="E71">
        <f>VLOOKUP(C71,Active!C$21:E$972,3,FALSE)</f>
        <v>-12527.643847245525</v>
      </c>
      <c r="F71" s="16" t="s">
        <v>115</v>
      </c>
      <c r="G71" t="str">
        <f t="shared" si="10"/>
        <v>21660.799</v>
      </c>
      <c r="H71" s="29">
        <f t="shared" si="11"/>
        <v>-12528</v>
      </c>
      <c r="I71" s="52" t="s">
        <v>338</v>
      </c>
      <c r="J71" s="53" t="s">
        <v>339</v>
      </c>
      <c r="K71" s="52">
        <v>-12528</v>
      </c>
      <c r="L71" s="52" t="s">
        <v>340</v>
      </c>
      <c r="M71" s="53" t="s">
        <v>297</v>
      </c>
      <c r="N71" s="53"/>
      <c r="O71" s="54" t="s">
        <v>298</v>
      </c>
      <c r="P71" s="54" t="s">
        <v>43</v>
      </c>
    </row>
    <row r="72" spans="1:16" ht="12.75" customHeight="1" x14ac:dyDescent="0.2">
      <c r="A72" s="29" t="str">
        <f t="shared" si="6"/>
        <v> HB 844.7 </v>
      </c>
      <c r="B72" s="16" t="str">
        <f t="shared" si="7"/>
        <v>I</v>
      </c>
      <c r="C72" s="29">
        <f t="shared" si="8"/>
        <v>21749.535</v>
      </c>
      <c r="D72" t="str">
        <f t="shared" si="9"/>
        <v>vis</v>
      </c>
      <c r="E72">
        <f>VLOOKUP(C72,Active!C$21:E$972,3,FALSE)</f>
        <v>-12478.63913398793</v>
      </c>
      <c r="F72" s="16" t="s">
        <v>115</v>
      </c>
      <c r="G72" t="str">
        <f t="shared" si="10"/>
        <v>21749.535</v>
      </c>
      <c r="H72" s="29">
        <f t="shared" si="11"/>
        <v>-12479</v>
      </c>
      <c r="I72" s="52" t="s">
        <v>341</v>
      </c>
      <c r="J72" s="53" t="s">
        <v>342</v>
      </c>
      <c r="K72" s="52">
        <v>-12479</v>
      </c>
      <c r="L72" s="52" t="s">
        <v>343</v>
      </c>
      <c r="M72" s="53" t="s">
        <v>297</v>
      </c>
      <c r="N72" s="53"/>
      <c r="O72" s="54" t="s">
        <v>298</v>
      </c>
      <c r="P72" s="54" t="s">
        <v>43</v>
      </c>
    </row>
    <row r="73" spans="1:16" ht="12.75" customHeight="1" x14ac:dyDescent="0.2">
      <c r="A73" s="29" t="str">
        <f t="shared" si="6"/>
        <v> HB 844.7 </v>
      </c>
      <c r="B73" s="16" t="str">
        <f t="shared" si="7"/>
        <v>I</v>
      </c>
      <c r="C73" s="29">
        <f t="shared" si="8"/>
        <v>22750.834999999999</v>
      </c>
      <c r="D73" t="str">
        <f t="shared" si="9"/>
        <v>vis</v>
      </c>
      <c r="E73">
        <f>VLOOKUP(C73,Active!C$21:E$972,3,FALSE)</f>
        <v>-11925.668306084624</v>
      </c>
      <c r="F73" s="16" t="s">
        <v>115</v>
      </c>
      <c r="G73" t="str">
        <f t="shared" si="10"/>
        <v>22750.835</v>
      </c>
      <c r="H73" s="29">
        <f t="shared" si="11"/>
        <v>-11926</v>
      </c>
      <c r="I73" s="52" t="s">
        <v>344</v>
      </c>
      <c r="J73" s="53" t="s">
        <v>345</v>
      </c>
      <c r="K73" s="52">
        <v>-11926</v>
      </c>
      <c r="L73" s="52" t="s">
        <v>346</v>
      </c>
      <c r="M73" s="53" t="s">
        <v>297</v>
      </c>
      <c r="N73" s="53"/>
      <c r="O73" s="54" t="s">
        <v>298</v>
      </c>
      <c r="P73" s="54" t="s">
        <v>43</v>
      </c>
    </row>
    <row r="74" spans="1:16" ht="12.75" customHeight="1" x14ac:dyDescent="0.2">
      <c r="A74" s="29" t="str">
        <f t="shared" si="6"/>
        <v> HB 845.18 </v>
      </c>
      <c r="B74" s="16" t="str">
        <f t="shared" si="7"/>
        <v>I</v>
      </c>
      <c r="C74" s="29">
        <f t="shared" si="8"/>
        <v>24941.7896</v>
      </c>
      <c r="D74" t="str">
        <f t="shared" si="9"/>
        <v>vis</v>
      </c>
      <c r="E74">
        <f>VLOOKUP(C74,Active!C$21:E$972,3,FALSE)</f>
        <v>-10715.707276362704</v>
      </c>
      <c r="F74" s="16" t="s">
        <v>115</v>
      </c>
      <c r="G74" t="str">
        <f t="shared" si="10"/>
        <v>24941.7896</v>
      </c>
      <c r="H74" s="29">
        <f t="shared" si="11"/>
        <v>-10716</v>
      </c>
      <c r="I74" s="52" t="s">
        <v>347</v>
      </c>
      <c r="J74" s="53" t="s">
        <v>348</v>
      </c>
      <c r="K74" s="52">
        <v>-10716</v>
      </c>
      <c r="L74" s="52" t="s">
        <v>349</v>
      </c>
      <c r="M74" s="53" t="s">
        <v>119</v>
      </c>
      <c r="N74" s="53"/>
      <c r="O74" s="54" t="s">
        <v>350</v>
      </c>
      <c r="P74" s="54" t="s">
        <v>45</v>
      </c>
    </row>
    <row r="75" spans="1:16" ht="12.75" customHeight="1" x14ac:dyDescent="0.2">
      <c r="A75" s="29" t="str">
        <f t="shared" ref="A75:A92" si="12">P75</f>
        <v> HB 845.18 </v>
      </c>
      <c r="B75" s="16" t="str">
        <f t="shared" ref="B75:B92" si="13">IF(H75=INT(H75),"I","II")</f>
        <v>I</v>
      </c>
      <c r="C75" s="29">
        <f t="shared" ref="C75:C92" si="14">1*G75</f>
        <v>24941.7899</v>
      </c>
      <c r="D75" t="str">
        <f t="shared" ref="D75:D92" si="15">VLOOKUP(F75,I$1:J$5,2,FALSE)</f>
        <v>vis</v>
      </c>
      <c r="E75">
        <f>VLOOKUP(C75,Active!C$21:E$972,3,FALSE)</f>
        <v>-10715.707110686835</v>
      </c>
      <c r="F75" s="16" t="s">
        <v>115</v>
      </c>
      <c r="G75" t="str">
        <f t="shared" ref="G75:G92" si="16">MID(I75,3,LEN(I75)-3)</f>
        <v>24941.7899</v>
      </c>
      <c r="H75" s="29">
        <f t="shared" ref="H75:H92" si="17">1*K75</f>
        <v>-10716</v>
      </c>
      <c r="I75" s="52" t="s">
        <v>351</v>
      </c>
      <c r="J75" s="53" t="s">
        <v>348</v>
      </c>
      <c r="K75" s="52">
        <v>-10716</v>
      </c>
      <c r="L75" s="52" t="s">
        <v>352</v>
      </c>
      <c r="M75" s="53" t="s">
        <v>119</v>
      </c>
      <c r="N75" s="53"/>
      <c r="O75" s="54" t="s">
        <v>298</v>
      </c>
      <c r="P75" s="54" t="s">
        <v>45</v>
      </c>
    </row>
    <row r="76" spans="1:16" ht="12.75" customHeight="1" x14ac:dyDescent="0.2">
      <c r="A76" s="29" t="str">
        <f t="shared" si="12"/>
        <v> HA 113.77 </v>
      </c>
      <c r="B76" s="16" t="str">
        <f t="shared" si="13"/>
        <v>I</v>
      </c>
      <c r="C76" s="29">
        <f t="shared" si="14"/>
        <v>25327.455000000002</v>
      </c>
      <c r="D76" t="str">
        <f t="shared" si="15"/>
        <v>vis</v>
      </c>
      <c r="E76">
        <f>VLOOKUP(C76,Active!C$21:E$972,3,FALSE)</f>
        <v>-10502.722441116863</v>
      </c>
      <c r="F76" s="16" t="s">
        <v>115</v>
      </c>
      <c r="G76" t="str">
        <f t="shared" si="16"/>
        <v>25327.455</v>
      </c>
      <c r="H76" s="29">
        <f t="shared" si="17"/>
        <v>-10503</v>
      </c>
      <c r="I76" s="52" t="s">
        <v>353</v>
      </c>
      <c r="J76" s="53" t="s">
        <v>354</v>
      </c>
      <c r="K76" s="52">
        <v>-10503</v>
      </c>
      <c r="L76" s="52" t="s">
        <v>355</v>
      </c>
      <c r="M76" s="53" t="s">
        <v>356</v>
      </c>
      <c r="N76" s="53"/>
      <c r="O76" s="54" t="s">
        <v>357</v>
      </c>
      <c r="P76" s="54" t="s">
        <v>46</v>
      </c>
    </row>
    <row r="77" spans="1:16" ht="12.75" customHeight="1" x14ac:dyDescent="0.2">
      <c r="A77" s="29" t="str">
        <f t="shared" si="12"/>
        <v> AA 26.346 </v>
      </c>
      <c r="B77" s="16" t="str">
        <f t="shared" si="13"/>
        <v>I</v>
      </c>
      <c r="C77" s="29">
        <f t="shared" si="14"/>
        <v>27221.437999999998</v>
      </c>
      <c r="D77" t="str">
        <f t="shared" si="15"/>
        <v>vis</v>
      </c>
      <c r="E77">
        <f>VLOOKUP(C77,Active!C$21:E$972,3,FALSE)</f>
        <v>-9456.7648384555359</v>
      </c>
      <c r="F77" s="16" t="s">
        <v>115</v>
      </c>
      <c r="G77" t="str">
        <f t="shared" si="16"/>
        <v>27221.438</v>
      </c>
      <c r="H77" s="29">
        <f t="shared" si="17"/>
        <v>-9457</v>
      </c>
      <c r="I77" s="52" t="s">
        <v>358</v>
      </c>
      <c r="J77" s="53" t="s">
        <v>359</v>
      </c>
      <c r="K77" s="52">
        <v>-9457</v>
      </c>
      <c r="L77" s="52" t="s">
        <v>360</v>
      </c>
      <c r="M77" s="53" t="s">
        <v>119</v>
      </c>
      <c r="N77" s="53"/>
      <c r="O77" s="54" t="s">
        <v>361</v>
      </c>
      <c r="P77" s="54" t="s">
        <v>47</v>
      </c>
    </row>
    <row r="78" spans="1:16" ht="12.75" customHeight="1" x14ac:dyDescent="0.2">
      <c r="A78" s="29" t="str">
        <f t="shared" si="12"/>
        <v> CTAD 1 </v>
      </c>
      <c r="B78" s="16" t="str">
        <f t="shared" si="13"/>
        <v>I</v>
      </c>
      <c r="C78" s="29">
        <f t="shared" si="14"/>
        <v>27576.333999999999</v>
      </c>
      <c r="D78" t="str">
        <f t="shared" si="15"/>
        <v>vis</v>
      </c>
      <c r="E78">
        <f>VLOOKUP(C78,Active!C$21:E$972,3,FALSE)</f>
        <v>-9260.7724935643218</v>
      </c>
      <c r="F78" s="16" t="s">
        <v>115</v>
      </c>
      <c r="G78" t="str">
        <f t="shared" si="16"/>
        <v>27576.334</v>
      </c>
      <c r="H78" s="29">
        <f t="shared" si="17"/>
        <v>-9261</v>
      </c>
      <c r="I78" s="52" t="s">
        <v>362</v>
      </c>
      <c r="J78" s="53" t="s">
        <v>363</v>
      </c>
      <c r="K78" s="52">
        <v>-9261</v>
      </c>
      <c r="L78" s="52" t="s">
        <v>364</v>
      </c>
      <c r="M78" s="53" t="s">
        <v>119</v>
      </c>
      <c r="N78" s="53"/>
      <c r="O78" s="54" t="s">
        <v>365</v>
      </c>
      <c r="P78" s="54" t="s">
        <v>48</v>
      </c>
    </row>
    <row r="79" spans="1:16" ht="12.75" customHeight="1" x14ac:dyDescent="0.2">
      <c r="A79" s="29" t="str">
        <f t="shared" si="12"/>
        <v> IODE 4.3.56 </v>
      </c>
      <c r="B79" s="16" t="str">
        <f t="shared" si="13"/>
        <v>I</v>
      </c>
      <c r="C79" s="29">
        <f t="shared" si="14"/>
        <v>27862.421999999999</v>
      </c>
      <c r="D79" t="str">
        <f t="shared" si="15"/>
        <v>vis</v>
      </c>
      <c r="E79">
        <f>VLOOKUP(C79,Active!C$21:E$972,3,FALSE)</f>
        <v>-9102.7795661567507</v>
      </c>
      <c r="F79" s="16" t="s">
        <v>115</v>
      </c>
      <c r="G79" t="str">
        <f t="shared" si="16"/>
        <v>27862.422</v>
      </c>
      <c r="H79" s="29">
        <f t="shared" si="17"/>
        <v>-9103</v>
      </c>
      <c r="I79" s="52" t="s">
        <v>366</v>
      </c>
      <c r="J79" s="53" t="s">
        <v>367</v>
      </c>
      <c r="K79" s="52">
        <v>-9103</v>
      </c>
      <c r="L79" s="52" t="s">
        <v>368</v>
      </c>
      <c r="M79" s="53" t="s">
        <v>119</v>
      </c>
      <c r="N79" s="53"/>
      <c r="O79" s="54" t="s">
        <v>369</v>
      </c>
      <c r="P79" s="54" t="s">
        <v>49</v>
      </c>
    </row>
    <row r="80" spans="1:16" ht="12.75" customHeight="1" x14ac:dyDescent="0.2">
      <c r="A80" s="29" t="str">
        <f t="shared" si="12"/>
        <v> AA 26.346 </v>
      </c>
      <c r="B80" s="16" t="str">
        <f t="shared" si="13"/>
        <v>I</v>
      </c>
      <c r="C80" s="29">
        <f t="shared" si="14"/>
        <v>27929.418000000001</v>
      </c>
      <c r="D80" t="str">
        <f t="shared" si="15"/>
        <v>vis</v>
      </c>
      <c r="E80">
        <f>VLOOKUP(C80,Active!C$21:E$972,3,FALSE)</f>
        <v>-9065.7808309263382</v>
      </c>
      <c r="F80" s="16" t="s">
        <v>115</v>
      </c>
      <c r="G80" t="str">
        <f t="shared" si="16"/>
        <v>27929.418</v>
      </c>
      <c r="H80" s="29">
        <f t="shared" si="17"/>
        <v>-9066</v>
      </c>
      <c r="I80" s="52" t="s">
        <v>370</v>
      </c>
      <c r="J80" s="53" t="s">
        <v>371</v>
      </c>
      <c r="K80" s="52">
        <v>-9066</v>
      </c>
      <c r="L80" s="52" t="s">
        <v>372</v>
      </c>
      <c r="M80" s="53" t="s">
        <v>119</v>
      </c>
      <c r="N80" s="53"/>
      <c r="O80" s="54" t="s">
        <v>361</v>
      </c>
      <c r="P80" s="54" t="s">
        <v>47</v>
      </c>
    </row>
    <row r="81" spans="1:16" ht="12.75" customHeight="1" x14ac:dyDescent="0.2">
      <c r="A81" s="29" t="str">
        <f t="shared" si="12"/>
        <v> IODE 4.3.56 </v>
      </c>
      <c r="B81" s="16" t="str">
        <f t="shared" si="13"/>
        <v>I</v>
      </c>
      <c r="C81" s="29">
        <f t="shared" si="14"/>
        <v>31230.300999999999</v>
      </c>
      <c r="D81" t="str">
        <f t="shared" si="15"/>
        <v>vis</v>
      </c>
      <c r="E81">
        <f>VLOOKUP(C81,Active!C$21:E$972,3,FALSE)</f>
        <v>-7242.8586244727785</v>
      </c>
      <c r="F81" s="16" t="s">
        <v>115</v>
      </c>
      <c r="G81" t="str">
        <f t="shared" si="16"/>
        <v>31230.301</v>
      </c>
      <c r="H81" s="29">
        <f t="shared" si="17"/>
        <v>-7243</v>
      </c>
      <c r="I81" s="52" t="s">
        <v>373</v>
      </c>
      <c r="J81" s="53" t="s">
        <v>374</v>
      </c>
      <c r="K81" s="52">
        <v>-7243</v>
      </c>
      <c r="L81" s="52" t="s">
        <v>375</v>
      </c>
      <c r="M81" s="53" t="s">
        <v>119</v>
      </c>
      <c r="N81" s="53"/>
      <c r="O81" s="54" t="s">
        <v>369</v>
      </c>
      <c r="P81" s="54" t="s">
        <v>49</v>
      </c>
    </row>
    <row r="82" spans="1:16" ht="12.75" customHeight="1" x14ac:dyDescent="0.2">
      <c r="A82" s="29" t="str">
        <f t="shared" si="12"/>
        <v> AA 26.346 </v>
      </c>
      <c r="B82" s="16" t="str">
        <f t="shared" si="13"/>
        <v>I</v>
      </c>
      <c r="C82" s="29">
        <f t="shared" si="14"/>
        <v>31554.415000000001</v>
      </c>
      <c r="D82" t="str">
        <f t="shared" si="15"/>
        <v>vis</v>
      </c>
      <c r="E82">
        <f>VLOOKUP(C82,Active!C$21:E$972,3,FALSE)</f>
        <v>-7063.8657283227203</v>
      </c>
      <c r="F82" s="16" t="s">
        <v>115</v>
      </c>
      <c r="G82" t="str">
        <f t="shared" si="16"/>
        <v>31554.415</v>
      </c>
      <c r="H82" s="29">
        <f t="shared" si="17"/>
        <v>-7064</v>
      </c>
      <c r="I82" s="52" t="s">
        <v>376</v>
      </c>
      <c r="J82" s="53" t="s">
        <v>377</v>
      </c>
      <c r="K82" s="52">
        <v>-7064</v>
      </c>
      <c r="L82" s="52" t="s">
        <v>378</v>
      </c>
      <c r="M82" s="53" t="s">
        <v>119</v>
      </c>
      <c r="N82" s="53"/>
      <c r="O82" s="54" t="s">
        <v>361</v>
      </c>
      <c r="P82" s="54" t="s">
        <v>47</v>
      </c>
    </row>
    <row r="83" spans="1:16" ht="12.75" customHeight="1" x14ac:dyDescent="0.2">
      <c r="A83" s="29" t="str">
        <f t="shared" si="12"/>
        <v> AA 26.346 </v>
      </c>
      <c r="B83" s="16" t="str">
        <f t="shared" si="13"/>
        <v>I</v>
      </c>
      <c r="C83" s="29">
        <f t="shared" si="14"/>
        <v>31907.499</v>
      </c>
      <c r="D83" t="str">
        <f t="shared" si="15"/>
        <v>vis</v>
      </c>
      <c r="E83">
        <f>VLOOKUP(C83,Active!C$21:E$972,3,FALSE)</f>
        <v>-6868.8740656847394</v>
      </c>
      <c r="F83" s="16" t="s">
        <v>115</v>
      </c>
      <c r="G83" t="str">
        <f t="shared" si="16"/>
        <v>31907.499</v>
      </c>
      <c r="H83" s="29">
        <f t="shared" si="17"/>
        <v>-6869</v>
      </c>
      <c r="I83" s="52" t="s">
        <v>379</v>
      </c>
      <c r="J83" s="53" t="s">
        <v>380</v>
      </c>
      <c r="K83" s="52">
        <v>-6869</v>
      </c>
      <c r="L83" s="52" t="s">
        <v>381</v>
      </c>
      <c r="M83" s="53" t="s">
        <v>119</v>
      </c>
      <c r="N83" s="53"/>
      <c r="O83" s="54" t="s">
        <v>361</v>
      </c>
      <c r="P83" s="54" t="s">
        <v>47</v>
      </c>
    </row>
    <row r="84" spans="1:16" ht="12.75" customHeight="1" x14ac:dyDescent="0.2">
      <c r="A84" s="29" t="str">
        <f t="shared" si="12"/>
        <v> AAC 5.78 </v>
      </c>
      <c r="B84" s="16" t="str">
        <f t="shared" si="13"/>
        <v>I</v>
      </c>
      <c r="C84" s="29">
        <f t="shared" si="14"/>
        <v>33763.447</v>
      </c>
      <c r="D84" t="str">
        <f t="shared" si="15"/>
        <v>vis</v>
      </c>
      <c r="E84">
        <f>VLOOKUP(C84,Active!C$21:E$972,3,FALSE)</f>
        <v>-5843.9214020419886</v>
      </c>
      <c r="F84" s="16" t="s">
        <v>115</v>
      </c>
      <c r="G84" t="str">
        <f t="shared" si="16"/>
        <v>33763.447</v>
      </c>
      <c r="H84" s="29">
        <f t="shared" si="17"/>
        <v>-5844</v>
      </c>
      <c r="I84" s="52" t="s">
        <v>382</v>
      </c>
      <c r="J84" s="53" t="s">
        <v>383</v>
      </c>
      <c r="K84" s="52">
        <v>-5844</v>
      </c>
      <c r="L84" s="52" t="s">
        <v>384</v>
      </c>
      <c r="M84" s="53" t="s">
        <v>119</v>
      </c>
      <c r="N84" s="53"/>
      <c r="O84" s="54" t="s">
        <v>385</v>
      </c>
      <c r="P84" s="54" t="s">
        <v>50</v>
      </c>
    </row>
    <row r="85" spans="1:16" ht="12.75" customHeight="1" x14ac:dyDescent="0.2">
      <c r="A85" s="29" t="str">
        <f t="shared" si="12"/>
        <v> AA 6.145 </v>
      </c>
      <c r="B85" s="16" t="str">
        <f t="shared" si="13"/>
        <v>I</v>
      </c>
      <c r="C85" s="29">
        <f t="shared" si="14"/>
        <v>34480.49</v>
      </c>
      <c r="D85" t="str">
        <f t="shared" si="15"/>
        <v>vis</v>
      </c>
      <c r="E85">
        <f>VLOOKUP(C85,Active!C$21:E$972,3,FALSE)</f>
        <v>-5447.9323264879395</v>
      </c>
      <c r="F85" s="16" t="s">
        <v>115</v>
      </c>
      <c r="G85" t="str">
        <f t="shared" si="16"/>
        <v>34480.490</v>
      </c>
      <c r="H85" s="29">
        <f t="shared" si="17"/>
        <v>-5448</v>
      </c>
      <c r="I85" s="52" t="s">
        <v>386</v>
      </c>
      <c r="J85" s="53" t="s">
        <v>387</v>
      </c>
      <c r="K85" s="52">
        <v>-5448</v>
      </c>
      <c r="L85" s="52" t="s">
        <v>388</v>
      </c>
      <c r="M85" s="53" t="s">
        <v>119</v>
      </c>
      <c r="N85" s="53"/>
      <c r="O85" s="54" t="s">
        <v>385</v>
      </c>
      <c r="P85" s="54" t="s">
        <v>51</v>
      </c>
    </row>
    <row r="86" spans="1:16" ht="12.75" customHeight="1" x14ac:dyDescent="0.2">
      <c r="A86" s="29" t="str">
        <f t="shared" si="12"/>
        <v>VSB 47 </v>
      </c>
      <c r="B86" s="16" t="str">
        <f t="shared" si="13"/>
        <v>I</v>
      </c>
      <c r="C86" s="29">
        <f t="shared" si="14"/>
        <v>49861.006999999998</v>
      </c>
      <c r="D86" t="str">
        <f t="shared" si="15"/>
        <v>vis</v>
      </c>
      <c r="E86">
        <f>VLOOKUP(C86,Active!C$21:E$972,3,FALSE)</f>
        <v>3046.0027769484768</v>
      </c>
      <c r="F86" s="16" t="s">
        <v>115</v>
      </c>
      <c r="G86" t="str">
        <f t="shared" si="16"/>
        <v>49861.007</v>
      </c>
      <c r="H86" s="29">
        <f t="shared" si="17"/>
        <v>3046</v>
      </c>
      <c r="I86" s="52" t="s">
        <v>389</v>
      </c>
      <c r="J86" s="53" t="s">
        <v>390</v>
      </c>
      <c r="K86" s="52">
        <v>3046</v>
      </c>
      <c r="L86" s="52" t="s">
        <v>391</v>
      </c>
      <c r="M86" s="53" t="s">
        <v>119</v>
      </c>
      <c r="N86" s="53"/>
      <c r="O86" s="54" t="s">
        <v>392</v>
      </c>
      <c r="P86" s="55" t="s">
        <v>90</v>
      </c>
    </row>
    <row r="87" spans="1:16" ht="12.75" customHeight="1" x14ac:dyDescent="0.2">
      <c r="A87" s="29" t="str">
        <f t="shared" si="12"/>
        <v>VSB 47 </v>
      </c>
      <c r="B87" s="16" t="str">
        <f t="shared" si="13"/>
        <v>I</v>
      </c>
      <c r="C87" s="29">
        <f t="shared" si="14"/>
        <v>49870.065999999999</v>
      </c>
      <c r="D87" t="str">
        <f t="shared" si="15"/>
        <v>CCD</v>
      </c>
      <c r="E87">
        <f>VLOOKUP(C87,Active!C$21:E$972,3,FALSE)</f>
        <v>3051.0056359617361</v>
      </c>
      <c r="F87" s="16" t="str">
        <f>LEFT(M87,1)</f>
        <v>C</v>
      </c>
      <c r="G87" t="str">
        <f t="shared" si="16"/>
        <v>49870.066</v>
      </c>
      <c r="H87" s="29">
        <f t="shared" si="17"/>
        <v>3051</v>
      </c>
      <c r="I87" s="52" t="s">
        <v>393</v>
      </c>
      <c r="J87" s="53" t="s">
        <v>394</v>
      </c>
      <c r="K87" s="52">
        <v>3051</v>
      </c>
      <c r="L87" s="52" t="s">
        <v>246</v>
      </c>
      <c r="M87" s="53" t="s">
        <v>276</v>
      </c>
      <c r="N87" s="53" t="s">
        <v>115</v>
      </c>
      <c r="O87" s="54" t="s">
        <v>395</v>
      </c>
      <c r="P87" s="55" t="s">
        <v>90</v>
      </c>
    </row>
    <row r="88" spans="1:16" ht="12.75" customHeight="1" x14ac:dyDescent="0.2">
      <c r="A88" s="29" t="str">
        <f t="shared" si="12"/>
        <v> BBS 122 </v>
      </c>
      <c r="B88" s="16" t="str">
        <f t="shared" si="13"/>
        <v>I</v>
      </c>
      <c r="C88" s="29">
        <f t="shared" si="14"/>
        <v>51606.588000000003</v>
      </c>
      <c r="D88" t="str">
        <f t="shared" si="15"/>
        <v>vis</v>
      </c>
      <c r="E88">
        <f>VLOOKUP(C88,Active!C$21:E$972,3,FALSE)</f>
        <v>4010.0049448724608</v>
      </c>
      <c r="F88" s="16" t="s">
        <v>115</v>
      </c>
      <c r="G88" t="str">
        <f t="shared" si="16"/>
        <v>51606.588</v>
      </c>
      <c r="H88" s="29">
        <f t="shared" si="17"/>
        <v>4010</v>
      </c>
      <c r="I88" s="52" t="s">
        <v>396</v>
      </c>
      <c r="J88" s="53" t="s">
        <v>397</v>
      </c>
      <c r="K88" s="52">
        <v>4010</v>
      </c>
      <c r="L88" s="52" t="s">
        <v>398</v>
      </c>
      <c r="M88" s="53" t="s">
        <v>119</v>
      </c>
      <c r="N88" s="53"/>
      <c r="O88" s="54" t="s">
        <v>129</v>
      </c>
      <c r="P88" s="54" t="s">
        <v>97</v>
      </c>
    </row>
    <row r="89" spans="1:16" ht="12.75" customHeight="1" x14ac:dyDescent="0.2">
      <c r="A89" s="29" t="str">
        <f t="shared" si="12"/>
        <v>VSB 39 </v>
      </c>
      <c r="B89" s="16" t="str">
        <f t="shared" si="13"/>
        <v>I</v>
      </c>
      <c r="C89" s="29">
        <f t="shared" si="14"/>
        <v>52042.991999999998</v>
      </c>
      <c r="D89" t="str">
        <f t="shared" si="15"/>
        <v>vis</v>
      </c>
      <c r="E89">
        <f>VLOOKUP(C89,Active!C$21:E$972,3,FALSE)</f>
        <v>4251.0103190663203</v>
      </c>
      <c r="F89" s="16" t="s">
        <v>115</v>
      </c>
      <c r="G89" t="str">
        <f t="shared" si="16"/>
        <v>52042.992</v>
      </c>
      <c r="H89" s="29">
        <f t="shared" si="17"/>
        <v>4251</v>
      </c>
      <c r="I89" s="52" t="s">
        <v>399</v>
      </c>
      <c r="J89" s="53" t="s">
        <v>400</v>
      </c>
      <c r="K89" s="52">
        <v>4251</v>
      </c>
      <c r="L89" s="52" t="s">
        <v>391</v>
      </c>
      <c r="M89" s="53" t="s">
        <v>119</v>
      </c>
      <c r="N89" s="53"/>
      <c r="O89" s="54" t="s">
        <v>401</v>
      </c>
      <c r="P89" s="55" t="s">
        <v>98</v>
      </c>
    </row>
    <row r="90" spans="1:16" ht="12.75" customHeight="1" x14ac:dyDescent="0.2">
      <c r="A90" s="29" t="str">
        <f t="shared" si="12"/>
        <v> BBS 127 </v>
      </c>
      <c r="B90" s="16" t="str">
        <f t="shared" si="13"/>
        <v>I</v>
      </c>
      <c r="C90" s="29">
        <f t="shared" si="14"/>
        <v>52323.656000000003</v>
      </c>
      <c r="D90" t="str">
        <f t="shared" si="15"/>
        <v>vis</v>
      </c>
      <c r="E90">
        <f>VLOOKUP(C90,Active!C$21:E$972,3,FALSE)</f>
        <v>4406.0078267489889</v>
      </c>
      <c r="F90" s="16" t="s">
        <v>115</v>
      </c>
      <c r="G90" t="str">
        <f t="shared" si="16"/>
        <v>52323.656</v>
      </c>
      <c r="H90" s="29">
        <f t="shared" si="17"/>
        <v>4406</v>
      </c>
      <c r="I90" s="52" t="s">
        <v>402</v>
      </c>
      <c r="J90" s="53" t="s">
        <v>403</v>
      </c>
      <c r="K90" s="52">
        <v>4406</v>
      </c>
      <c r="L90" s="52" t="s">
        <v>404</v>
      </c>
      <c r="M90" s="53" t="s">
        <v>119</v>
      </c>
      <c r="N90" s="53"/>
      <c r="O90" s="54" t="s">
        <v>129</v>
      </c>
      <c r="P90" s="54" t="s">
        <v>99</v>
      </c>
    </row>
    <row r="91" spans="1:16" ht="12.75" customHeight="1" x14ac:dyDescent="0.2">
      <c r="A91" s="29" t="str">
        <f t="shared" si="12"/>
        <v>VSB 45 </v>
      </c>
      <c r="B91" s="16" t="str">
        <f t="shared" si="13"/>
        <v>I</v>
      </c>
      <c r="C91" s="29">
        <f t="shared" si="14"/>
        <v>53752.345999999998</v>
      </c>
      <c r="D91" t="str">
        <f t="shared" si="15"/>
        <v>vis</v>
      </c>
      <c r="E91">
        <f>VLOOKUP(C91,Active!C$21:E$972,3,FALSE)</f>
        <v>5195.0060212133576</v>
      </c>
      <c r="F91" s="16" t="s">
        <v>115</v>
      </c>
      <c r="G91" t="str">
        <f t="shared" si="16"/>
        <v>53752.346</v>
      </c>
      <c r="H91" s="29">
        <f t="shared" si="17"/>
        <v>5195</v>
      </c>
      <c r="I91" s="52" t="s">
        <v>405</v>
      </c>
      <c r="J91" s="53" t="s">
        <v>406</v>
      </c>
      <c r="K91" s="52" t="s">
        <v>407</v>
      </c>
      <c r="L91" s="52" t="s">
        <v>408</v>
      </c>
      <c r="M91" s="53" t="s">
        <v>119</v>
      </c>
      <c r="N91" s="53"/>
      <c r="O91" s="54" t="s">
        <v>409</v>
      </c>
      <c r="P91" s="55" t="s">
        <v>103</v>
      </c>
    </row>
    <row r="92" spans="1:16" ht="12.75" customHeight="1" x14ac:dyDescent="0.2">
      <c r="A92" s="29" t="str">
        <f t="shared" si="12"/>
        <v>VSB 46 </v>
      </c>
      <c r="B92" s="16" t="str">
        <f t="shared" si="13"/>
        <v>I</v>
      </c>
      <c r="C92" s="29">
        <f t="shared" si="14"/>
        <v>54165.202400000002</v>
      </c>
      <c r="D92" t="str">
        <f t="shared" si="15"/>
        <v>vis</v>
      </c>
      <c r="E92">
        <f>VLOOKUP(C92,Active!C$21:E$972,3,FALSE)</f>
        <v>5423.0071650395648</v>
      </c>
      <c r="F92" s="16" t="s">
        <v>115</v>
      </c>
      <c r="G92" t="str">
        <f t="shared" si="16"/>
        <v>54165.2024</v>
      </c>
      <c r="H92" s="29">
        <f t="shared" si="17"/>
        <v>5423</v>
      </c>
      <c r="I92" s="52" t="s">
        <v>410</v>
      </c>
      <c r="J92" s="53" t="s">
        <v>411</v>
      </c>
      <c r="K92" s="52" t="s">
        <v>412</v>
      </c>
      <c r="L92" s="52" t="s">
        <v>413</v>
      </c>
      <c r="M92" s="53" t="s">
        <v>276</v>
      </c>
      <c r="N92" s="53" t="s">
        <v>414</v>
      </c>
      <c r="O92" s="54" t="s">
        <v>415</v>
      </c>
      <c r="P92" s="55" t="s">
        <v>104</v>
      </c>
    </row>
  </sheetData>
  <sheetProtection selectLockedCells="1" selectUnlockedCells="1"/>
  <hyperlinks>
    <hyperlink ref="P54" r:id="rId1" xr:uid="{00000000-0004-0000-0100-000000000000}"/>
    <hyperlink ref="P55" r:id="rId2" xr:uid="{00000000-0004-0000-0100-000001000000}"/>
    <hyperlink ref="P56" r:id="rId3" xr:uid="{00000000-0004-0000-0100-000002000000}"/>
    <hyperlink ref="P86" r:id="rId4" xr:uid="{00000000-0004-0000-0100-000003000000}"/>
    <hyperlink ref="P87" r:id="rId5" xr:uid="{00000000-0004-0000-0100-000004000000}"/>
    <hyperlink ref="P89" r:id="rId6" xr:uid="{00000000-0004-0000-0100-000005000000}"/>
    <hyperlink ref="P91" r:id="rId7" xr:uid="{00000000-0004-0000-0100-000006000000}"/>
    <hyperlink ref="P92" r:id="rId8" xr:uid="{00000000-0004-0000-0100-00000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2023-01-26T00:07:03Z</dcterms:created>
  <dcterms:modified xsi:type="dcterms:W3CDTF">2025-01-10T07:26:41Z</dcterms:modified>
</cp:coreProperties>
</file>