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5F1F46A-66B8-448D-A0E8-EAFF363F0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 s="1"/>
  <c r="Q25" i="1"/>
  <c r="E26" i="1"/>
  <c r="F26" i="1"/>
  <c r="G26" i="1" s="1"/>
  <c r="K26" i="1" s="1"/>
  <c r="Q26" i="1"/>
  <c r="F14" i="1"/>
  <c r="E22" i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5" i="1" l="1"/>
  <c r="O26" i="1"/>
  <c r="O23" i="1"/>
  <c r="O22" i="1"/>
  <c r="O24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<sst xmlns="http://schemas.openxmlformats.org/spreadsheetml/2006/main" count="64" uniqueCount="54">
  <si>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</si>
  <si>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</si>
  <si>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</si>
  <si>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</si>
  <si>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</si>
  <si>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</si>
  <si>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</si>
  <si>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</si>
  <si>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</si>
  <si>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</si>
  <si>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</si>
  <si>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</si>
  <si>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</si>
  <si>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</si>
  <si>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</si>
  <si>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</si>
  <si>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</si>
  <si>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</si>
  <si>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</si>
  <si>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</si>
  <si>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</si>
  <si>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</si>
  <si>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</si>
  <si>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</si>
  <si>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</si>
  <si>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</si>
  <si>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</si>
  <si>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</si>
  <si>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</si>
  <si>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</si>
  <si>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</si>
  <si>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</si>
  <si>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</si>
  <si>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</si>
  <si>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</si>
  <si>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</si>
  <si>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</si>
  <si>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</si>
  <si>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</si>
  <si>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</si>
  <si>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</si>
  <si>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</si>
  <si>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</si>
  <si>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</si>
  <si>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</si>
  <si>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</si>
  <si>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V0338 Vir</t>
  </si>
  <si>
    <t>JBAV, 79</t>
  </si>
  <si>
    <t>I</t>
  </si>
  <si>
    <t>JBAV 96</t>
  </si>
  <si>
    <t xml:space="preserve">Mag </t>
  </si>
  <si>
    <t>Next ToM-P</t>
  </si>
  <si>
    <t>Next ToM-S</t>
  </si>
  <si>
    <t>9.16-9.45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</si>
</sst>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3" fontId="19" fillId="0" borderId="0" xfId="8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20" fillId="0" borderId="8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22" fontId="21" fillId="0" borderId="11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V0338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  <c:pt idx="4">
                  <c:v>2178</c:v>
                </c:pt>
                <c:pt idx="5">
                  <c:v>2187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  <c:pt idx="4">
                  <c:v>2178</c:v>
                </c:pt>
                <c:pt idx="5">
                  <c:v>2187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  <c:pt idx="4">
                  <c:v>2178</c:v>
                </c:pt>
                <c:pt idx="5">
                  <c:v>2187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  <c:pt idx="4">
                  <c:v>2178</c:v>
                </c:pt>
                <c:pt idx="5">
                  <c:v>2187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-7.709999980579596E-2</c:v>
                </c:pt>
                <c:pt idx="2">
                  <c:v>-8.5499999855528586E-2</c:v>
                </c:pt>
                <c:pt idx="3">
                  <c:v>-9.4900000061898027E-2</c:v>
                </c:pt>
                <c:pt idx="4">
                  <c:v>-9.0499999903840944E-2</c:v>
                </c:pt>
                <c:pt idx="5">
                  <c:v>-9.4800000202667434E-2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  <c:pt idx="4">
                  <c:v>2178</c:v>
                </c:pt>
                <c:pt idx="5">
                  <c:v>2187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  <c:pt idx="4">
                  <c:v>2178</c:v>
                </c:pt>
                <c:pt idx="5">
                  <c:v>2187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  <c:pt idx="4">
                  <c:v>2178</c:v>
                </c:pt>
                <c:pt idx="5">
                  <c:v>2187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  <c:pt idx="4">
                  <c:v>2178</c:v>
                </c:pt>
                <c:pt idx="5">
                  <c:v>2187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1.3681147820004957E-4</c:v>
                </c:pt>
                <c:pt idx="1">
                  <c:v>-8.6406931385923938E-2</c:v>
                </c:pt>
                <c:pt idx="2">
                  <c:v>-8.6491117906219772E-2</c:v>
                </c:pt>
                <c:pt idx="3">
                  <c:v>-8.657530442651562E-2</c:v>
                </c:pt>
                <c:pt idx="4">
                  <c:v>-9.1542309123970197E-2</c:v>
                </c:pt>
                <c:pt idx="5">
                  <c:v>-9.1921148465301486E-2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  <c:pt idx="4">
                  <c:v>2178</c:v>
                </c:pt>
                <c:pt idx="5">
                  <c:v>2187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19050</xdr:rowOff>
    </xdr:from>
    <xdr:to>
      <xdr:col>17</xdr:col>
      <xdr:colOff>200025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2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2" customFormat="1" ht="20.25" x14ac:dyDescent="0.2">
      <c r="A1" s="36" t="s">
        <v>46</v>
      </c>
      <c r="F1" s="9" t="s">
        <v>43</v>
      </c>
      <c r="G1" s="5"/>
      <c r="H1" s="3"/>
      <c r="I1" s="10"/>
      <c r="J1" s="11" t="s">
        <v>41</v>
      </c>
      <c r="K1" s="4"/>
      <c r="L1" s="6"/>
      <c r="M1" s="7"/>
      <c r="N1" s="7"/>
      <c r="O1" s="8"/>
    </row>
    <row r="2" spans="1:15" s="12" customFormat="1" ht="12.95" customHeight="1" x14ac:dyDescent="0.2">
      <c r="A2" s="12" t="s">
        <v>23</v>
      </c>
      <c r="B2" s="13" t="s">
        <v>44</v>
      </c>
      <c r="C2" s="14"/>
      <c r="D2" s="15"/>
    </row>
    <row r="3" spans="1:15" s="12" customFormat="1" ht="12.95" customHeight="1" x14ac:dyDescent="0.2"/>
    <row r="4" spans="1:15" s="12" customFormat="1" ht="12.95" customHeight="1" x14ac:dyDescent="0.2">
      <c r="A4" s="16" t="s">
        <v>0</v>
      </c>
      <c r="C4" s="15" t="s">
        <v>36</v>
      </c>
      <c r="D4" s="15" t="s">
        <v>36</v>
      </c>
    </row>
    <row r="5" spans="1:15" s="12" customFormat="1" ht="12.95" customHeight="1" x14ac:dyDescent="0.2">
      <c r="A5" s="17" t="s">
        <v>28</v>
      </c>
      <c r="C5" s="18">
        <v>-9.5</v>
      </c>
      <c r="D5" s="12" t="s">
        <v>29</v>
      </c>
    </row>
    <row r="6" spans="1:15" s="12" customFormat="1" ht="12.95" customHeight="1" x14ac:dyDescent="0.2">
      <c r="A6" s="16" t="s">
        <v>1</v>
      </c>
    </row>
    <row r="7" spans="1:15" s="12" customFormat="1" ht="12.95" customHeight="1" x14ac:dyDescent="0.2">
      <c r="A7" s="12" t="s">
        <v>2</v>
      </c>
      <c r="C7" s="37">
        <v>53900.589899999999</v>
      </c>
      <c r="D7" s="20" t="s">
        <v>45</v>
      </c>
    </row>
    <row r="8" spans="1:15" s="12" customFormat="1" ht="12.95" customHeight="1" x14ac:dyDescent="0.2">
      <c r="A8" s="12" t="s">
        <v>3</v>
      </c>
      <c r="C8" s="37">
        <v>2.9927000000000001</v>
      </c>
      <c r="D8" s="20" t="s">
        <v>45</v>
      </c>
    </row>
    <row r="9" spans="1:15" s="12" customFormat="1" ht="12.95" customHeight="1" x14ac:dyDescent="0.2">
      <c r="A9" s="21" t="s">
        <v>31</v>
      </c>
      <c r="B9" s="22">
        <v>21</v>
      </c>
      <c r="C9" s="23"/>
      <c r="D9" s="24"/>
    </row>
    <row r="10" spans="1:15" s="12" customFormat="1" ht="12.95" customHeight="1" thickBot="1" x14ac:dyDescent="0.25">
      <c r="C10" s="25" t="s">
        <v>19</v>
      </c>
      <c r="D10" s="25" t="s">
        <v>20</v>
      </c>
    </row>
    <row r="11" spans="1:15" s="12" customFormat="1" ht="12.95" customHeight="1" x14ac:dyDescent="0.2">
      <c r="A11" s="12" t="s">
        <v>15</v>
      </c>
      <c r="C11" s="24">
        <f ca="1">INTERCEPT(INDIRECT($G$11):G992,INDIRECT($F$11):F992)</f>
        <v>1.3681147820004957E-4</v>
      </c>
      <c r="D11" s="15"/>
      <c r="F11" s="12" t="str">
        <f>"F"&amp;B9</f>
        <v>F21</v>
      </c>
      <c r="G11" s="12" t="str">
        <f>"G"&amp;B9</f>
        <v>G21</v>
      </c>
    </row>
    <row r="12" spans="1:15" s="12" customFormat="1" ht="12.95" customHeight="1" x14ac:dyDescent="0.2">
      <c r="A12" s="12" t="s">
        <v>16</v>
      </c>
      <c r="C12" s="24">
        <f ca="1">SLOPE(INDIRECT($G$11):G992,INDIRECT($F$11):F992)</f>
        <v>-4.2093260147920226E-5</v>
      </c>
      <c r="D12" s="15"/>
      <c r="E12" s="46" t="s">
        <v>50</v>
      </c>
      <c r="F12" s="47" t="s">
        <v>53</v>
      </c>
    </row>
    <row r="13" spans="1:15" s="12" customFormat="1" ht="12.95" customHeight="1" x14ac:dyDescent="0.2">
      <c r="A13" s="12" t="s">
        <v>18</v>
      </c>
      <c r="C13" s="15" t="s">
        <v>13</v>
      </c>
      <c r="E13" s="44" t="s">
        <v>33</v>
      </c>
      <c r="F13" s="48">
        <v>1</v>
      </c>
    </row>
    <row r="14" spans="1:15" s="12" customFormat="1" ht="12.95" customHeight="1" x14ac:dyDescent="0.2">
      <c r="E14" s="44" t="s">
        <v>30</v>
      </c>
      <c r="F14" s="49">
        <f ca="1">NOW()+15018.5+$C$5/24</f>
        <v>60685.853402893517</v>
      </c>
    </row>
    <row r="15" spans="1:15" s="12" customFormat="1" ht="12.95" customHeight="1" x14ac:dyDescent="0.2">
      <c r="A15" s="27" t="s">
        <v>17</v>
      </c>
      <c r="C15" s="28">
        <f ca="1">(C7+C11)+(C8+C12)*INT(MAX(F21:F3533))</f>
        <v>60445.532878851533</v>
      </c>
      <c r="E15" s="44" t="s">
        <v>34</v>
      </c>
      <c r="F15" s="49">
        <f ca="1">ROUND(2*($F$14-$C$7)/$C$8,0)/2+$F$13</f>
        <v>2268.5</v>
      </c>
    </row>
    <row r="16" spans="1:15" s="12" customFormat="1" ht="12.95" customHeight="1" x14ac:dyDescent="0.2">
      <c r="A16" s="16" t="s">
        <v>4</v>
      </c>
      <c r="C16" s="29">
        <f ca="1">+C8+C12</f>
        <v>2.9926579067398524</v>
      </c>
      <c r="E16" s="44" t="s">
        <v>35</v>
      </c>
      <c r="F16" s="49">
        <f ca="1">ROUND(2*($F$14-$C$15)/$C$16,0)/2+$F$13</f>
        <v>81.5</v>
      </c>
    </row>
    <row r="17" spans="1:21" s="12" customFormat="1" ht="12.95" customHeight="1" thickBot="1" x14ac:dyDescent="0.25">
      <c r="A17" s="26" t="s">
        <v>27</v>
      </c>
      <c r="C17" s="12">
        <f>COUNT(C21:C2191)</f>
        <v>6</v>
      </c>
      <c r="E17" s="44" t="s">
        <v>51</v>
      </c>
      <c r="F17" s="51">
        <f ca="1">+$C$15+$C$16*$F$16-15018.5-$C$5/24</f>
        <v>45671.330331584169</v>
      </c>
    </row>
    <row r="18" spans="1:21" s="12" customFormat="1" ht="12.95" customHeight="1" thickTop="1" thickBot="1" x14ac:dyDescent="0.25">
      <c r="A18" s="16" t="s">
        <v>5</v>
      </c>
      <c r="C18" s="30">
        <f ca="1">+C15</f>
        <v>60445.532878851533</v>
      </c>
      <c r="D18" s="43">
        <f ca="1">+C16</f>
        <v>2.9926579067398524</v>
      </c>
      <c r="E18" s="45" t="s">
        <v>52</v>
      </c>
      <c r="F18" s="50">
        <f ca="1">+($C$15+$C$16*$F$16)-($C$16/2)-15018.5-$C$5/24</f>
        <v>45669.8340026308</v>
      </c>
    </row>
    <row r="19" spans="1:21" s="12" customFormat="1" ht="12.95" customHeight="1" thickTop="1" x14ac:dyDescent="0.2">
      <c r="F19" s="12" t="s">
        <v>42</v>
      </c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1" t="s">
        <v>37</v>
      </c>
      <c r="I20" s="31" t="s">
        <v>38</v>
      </c>
      <c r="J20" s="31" t="s">
        <v>39</v>
      </c>
      <c r="K20" s="31" t="s">
        <v>40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5" t="s">
        <v>14</v>
      </c>
      <c r="U20" s="33" t="s">
        <v>32</v>
      </c>
    </row>
    <row r="21" spans="1:21" s="12" customFormat="1" ht="12.95" customHeight="1" x14ac:dyDescent="0.2">
      <c r="A21" s="12" t="str">
        <f>D7</f>
        <v>VSX</v>
      </c>
      <c r="B21" s="15"/>
      <c r="C21" s="19">
        <f>C$7</f>
        <v>53900.589899999999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K21" s="12">
        <f>+G21</f>
        <v>0</v>
      </c>
      <c r="O21" s="12">
        <f ca="1">+C$11+C$12*$F21</f>
        <v>1.3681147820004957E-4</v>
      </c>
      <c r="Q21" s="34">
        <f>+C21-15018.5</f>
        <v>38882.089899999999</v>
      </c>
    </row>
    <row r="22" spans="1:21" s="12" customFormat="1" ht="12.95" customHeight="1" x14ac:dyDescent="0.2">
      <c r="A22" s="35" t="s">
        <v>47</v>
      </c>
      <c r="B22" s="40" t="s">
        <v>48</v>
      </c>
      <c r="C22" s="38">
        <v>60053.50400000019</v>
      </c>
      <c r="D22" s="39">
        <v>7.0000000000000001E-3</v>
      </c>
      <c r="E22" s="12">
        <f t="shared" ref="E22:E24" si="0">+(C22-C$7)/C$8</f>
        <v>2055.9742373108534</v>
      </c>
      <c r="F22" s="12">
        <f t="shared" ref="F22:F24" si="1">ROUND(2*E22,0)/2</f>
        <v>2056</v>
      </c>
      <c r="G22" s="12">
        <f t="shared" ref="G22:G24" si="2">+C22-(C$7+F22*C$8)</f>
        <v>-7.709999980579596E-2</v>
      </c>
      <c r="K22" s="12">
        <f t="shared" ref="K22:K24" si="3">+G22</f>
        <v>-7.709999980579596E-2</v>
      </c>
      <c r="O22" s="12">
        <f t="shared" ref="O22:O24" ca="1" si="4">+C$11+C$12*$F22</f>
        <v>-8.6406931385923938E-2</v>
      </c>
      <c r="Q22" s="34">
        <f t="shared" ref="Q22:Q24" si="5">+C22-15018.5</f>
        <v>45035.00400000019</v>
      </c>
    </row>
    <row r="23" spans="1:21" s="12" customFormat="1" ht="12.95" customHeight="1" x14ac:dyDescent="0.2">
      <c r="A23" s="35" t="s">
        <v>47</v>
      </c>
      <c r="B23" s="40" t="s">
        <v>48</v>
      </c>
      <c r="C23" s="38">
        <v>60059.481000000145</v>
      </c>
      <c r="D23" s="39">
        <v>7.0000000000000001E-3</v>
      </c>
      <c r="E23" s="12">
        <f t="shared" si="0"/>
        <v>2057.9714304808854</v>
      </c>
      <c r="F23" s="12">
        <f t="shared" si="1"/>
        <v>2058</v>
      </c>
      <c r="G23" s="12">
        <f t="shared" si="2"/>
        <v>-8.5499999855528586E-2</v>
      </c>
      <c r="K23" s="12">
        <f t="shared" si="3"/>
        <v>-8.5499999855528586E-2</v>
      </c>
      <c r="O23" s="12">
        <f t="shared" ca="1" si="4"/>
        <v>-8.6491117906219772E-2</v>
      </c>
      <c r="Q23" s="34">
        <f t="shared" si="5"/>
        <v>45040.981000000145</v>
      </c>
    </row>
    <row r="24" spans="1:21" s="12" customFormat="1" ht="12.95" customHeight="1" x14ac:dyDescent="0.2">
      <c r="A24" s="35" t="s">
        <v>47</v>
      </c>
      <c r="B24" s="40" t="s">
        <v>48</v>
      </c>
      <c r="C24" s="38">
        <v>60065.456999999937</v>
      </c>
      <c r="D24" s="39">
        <v>0.01</v>
      </c>
      <c r="E24" s="12">
        <f t="shared" si="0"/>
        <v>2059.9682895044398</v>
      </c>
      <c r="F24" s="12">
        <f t="shared" si="1"/>
        <v>2060</v>
      </c>
      <c r="G24" s="12">
        <f t="shared" si="2"/>
        <v>-9.4900000061898027E-2</v>
      </c>
      <c r="K24" s="12">
        <f t="shared" si="3"/>
        <v>-9.4900000061898027E-2</v>
      </c>
      <c r="O24" s="12">
        <f t="shared" ca="1" si="4"/>
        <v>-8.657530442651562E-2</v>
      </c>
      <c r="Q24" s="34">
        <f t="shared" si="5"/>
        <v>45046.956999999937</v>
      </c>
    </row>
    <row r="25" spans="1:21" s="12" customFormat="1" ht="12.95" customHeight="1" x14ac:dyDescent="0.2">
      <c r="A25" s="41" t="s">
        <v>49</v>
      </c>
      <c r="B25" s="42" t="s">
        <v>48</v>
      </c>
      <c r="C25" s="38">
        <v>60418.600000000093</v>
      </c>
      <c r="D25" s="41">
        <v>0.01</v>
      </c>
      <c r="E25" s="12">
        <f t="shared" ref="E25:E26" si="6">+(C25-C$7)/C$8</f>
        <v>2177.9697597487534</v>
      </c>
      <c r="F25" s="12">
        <f t="shared" ref="F25:F26" si="7">ROUND(2*E25,0)/2</f>
        <v>2178</v>
      </c>
      <c r="G25" s="12">
        <f t="shared" ref="G25:G26" si="8">+C25-(C$7+F25*C$8)</f>
        <v>-9.0499999903840944E-2</v>
      </c>
      <c r="K25" s="12">
        <f t="shared" ref="K25:K26" si="9">+G25</f>
        <v>-9.0499999903840944E-2</v>
      </c>
      <c r="O25" s="12">
        <f t="shared" ref="O25:O26" ca="1" si="10">+C$11+C$12*$F25</f>
        <v>-9.1542309123970197E-2</v>
      </c>
      <c r="Q25" s="34">
        <f t="shared" ref="Q25:Q26" si="11">+C25-15018.5</f>
        <v>45400.100000000093</v>
      </c>
    </row>
    <row r="26" spans="1:21" s="12" customFormat="1" ht="12.95" customHeight="1" x14ac:dyDescent="0.2">
      <c r="A26" s="41" t="s">
        <v>49</v>
      </c>
      <c r="B26" s="42" t="s">
        <v>48</v>
      </c>
      <c r="C26" s="38">
        <v>60445.529999999795</v>
      </c>
      <c r="D26" s="41">
        <v>0.01</v>
      </c>
      <c r="E26" s="12">
        <f t="shared" si="6"/>
        <v>2186.968322919035</v>
      </c>
      <c r="F26" s="12">
        <f t="shared" si="7"/>
        <v>2187</v>
      </c>
      <c r="G26" s="12">
        <f t="shared" si="8"/>
        <v>-9.4800000202667434E-2</v>
      </c>
      <c r="K26" s="12">
        <f t="shared" si="9"/>
        <v>-9.4800000202667434E-2</v>
      </c>
      <c r="O26" s="12">
        <f t="shared" ca="1" si="10"/>
        <v>-9.1921148465301486E-2</v>
      </c>
      <c r="Q26" s="34">
        <f t="shared" si="11"/>
        <v>45427.029999999795</v>
      </c>
    </row>
    <row r="27" spans="1:21" s="12" customFormat="1" ht="12.95" customHeight="1" x14ac:dyDescent="0.2">
      <c r="B27" s="15"/>
      <c r="C27" s="19"/>
      <c r="D27" s="19"/>
      <c r="Q27" s="34"/>
    </row>
    <row r="28" spans="1:21" s="12" customFormat="1" ht="12.95" customHeight="1" x14ac:dyDescent="0.2">
      <c r="B28" s="15"/>
      <c r="C28" s="19"/>
      <c r="D28" s="19"/>
      <c r="Q28" s="34"/>
    </row>
    <row r="29" spans="1:21" s="12" customFormat="1" ht="12.95" customHeight="1" x14ac:dyDescent="0.2">
      <c r="B29" s="15"/>
      <c r="C29" s="19"/>
      <c r="D29" s="19"/>
      <c r="Q29" s="34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2025-01-10T07:28:54Z</dcterms:modified>
</cp:coreProperties>
</file>