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41AF03-9398-419F-8162-FA61E16E4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F14" i="1"/>
  <c r="E27" i="1"/>
  <c r="F27" i="1" s="1"/>
  <c r="G27" i="1" s="1"/>
  <c r="K27" i="1" s="1"/>
  <c r="Q27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2" i="1"/>
  <c r="Q23" i="1"/>
  <c r="Q24" i="1"/>
  <c r="Q25" i="1"/>
  <c r="Q26" i="1"/>
  <c r="D9" i="1"/>
  <c r="E21" i="1"/>
  <c r="F21" i="1"/>
  <c r="G21" i="1"/>
  <c r="I21" i="1"/>
  <c r="E9" i="1"/>
  <c r="C17" i="1"/>
  <c r="Q21" i="1"/>
  <c r="C11" i="1"/>
  <c r="C12" i="1"/>
  <c r="O28" i="1" l="1"/>
  <c r="R28" i="1" s="1"/>
  <c r="F15" i="1"/>
  <c r="O27" i="1"/>
  <c r="R27" i="1" s="1"/>
  <c r="C16" i="1"/>
  <c r="D18" i="1" s="1"/>
  <c r="O21" i="1"/>
  <c r="R21" i="1" s="1"/>
  <c r="O25" i="1"/>
  <c r="R25" i="1" s="1"/>
  <c r="O26" i="1"/>
  <c r="R26" i="1" s="1"/>
  <c r="O24" i="1"/>
  <c r="R24" i="1" s="1"/>
  <c r="C15" i="1"/>
  <c r="O23" i="1"/>
  <c r="R23" i="1" s="1"/>
  <c r="O22" i="1"/>
  <c r="R22" i="1" s="1"/>
  <c r="F16" i="1" l="1"/>
  <c r="F17" i="1" s="1"/>
  <c r="C18" i="1"/>
  <c r="R19" i="1"/>
  <c r="F18" i="1" l="1"/>
</calcChain>
</file>

<file path=xl/sharedStrings.xml><?xml version="1.0" encoding="utf-8"?>
<sst xmlns="http://schemas.openxmlformats.org/spreadsheetml/2006/main" count="77" uniqueCount="68">
  <si>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</si>
  <si>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</si>
  <si>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</si>
  <si>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</si>
  <si>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</si>
  <si>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</si>
  <si>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</si>
  <si>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</si>
  <si>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</si>
  <si>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</si>
  <si>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</si>
  <si>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</si>
  <si>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</si>
  <si>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</si>
  <si>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</si>
  <si>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</si>
  <si>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</si>
  <si>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</si>
  <si>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</si>
  <si>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</si>
  <si>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</si>
  <si>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</si>
  <si>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</si>
  <si>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</si>
  <si>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</si>
  <si>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</si>
  <si>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</si>
  <si>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</si>
  <si>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</si>
  <si>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</si>
  <si>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</si>
  <si>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</si>
  <si>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</si>
  <si>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</si>
  <si>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</si>
  <si>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</si>
  <si>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</si>
  <si>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</si>
  <si>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</si>
  <si>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</si>
  <si>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</si>
  <si>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</si>
  <si>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V0614 Vir</t>
  </si>
  <si>
    <t>2019G</t>
  </si>
  <si>
    <t>G0279-0035</t>
  </si>
  <si>
    <t>EA</t>
  </si>
  <si>
    <t>pr_</t>
  </si>
  <si>
    <t>K2</t>
  </si>
  <si>
    <t>V0614</t>
  </si>
  <si>
    <t>0614</t>
  </si>
  <si>
    <t>Vir</t>
  </si>
  <si>
    <t>yes</t>
  </si>
  <si>
    <t>V0614 Vir / GSC 0279-0035</t>
  </si>
  <si>
    <t>as of 2019-07-08</t>
  </si>
  <si>
    <t>GCVS</t>
  </si>
  <si>
    <t>IBVS 5945</t>
  </si>
  <si>
    <t>IBVS 5992</t>
  </si>
  <si>
    <t>II</t>
  </si>
  <si>
    <t>IBVS 6029</t>
  </si>
  <si>
    <t>IBVS 6130</t>
  </si>
  <si>
    <t>Checked by ToMcat 2019-07-14</t>
  </si>
  <si>
    <t>JBAV, 63</t>
  </si>
  <si>
    <t>JBAV 96</t>
  </si>
  <si>
    <t xml:space="preserve">Mag </t>
  </si>
  <si>
    <t>Next ToM-P</t>
  </si>
  <si>
    <t>Next ToM-S</t>
  </si>
  <si>
    <t>9.50-10.30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</si>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</sst>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1">
    <xf numFmtId="0" fontId="0" fillId="0" borderId="0" xfId="0" applyAlignment="1"/>
    <xf numFmtId="0" fontId="0" fillId="0" borderId="0" xfId="0" applyAlignment="1">
      <alignment horizontal="lef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8" fillId="0" borderId="0" xfId="41" applyFont="1" applyAlignment="1">
      <alignment horizontal="left" vertical="center"/>
    </xf>
    <xf numFmtId="0" fontId="8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/>
    </xf>
    <xf numFmtId="0" fontId="37" fillId="0" borderId="14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15" fillId="26" borderId="12" xfId="0" applyFont="1" applyFill="1" applyBorder="1" applyAlignment="1">
      <alignment horizontal="right" vertical="center"/>
    </xf>
    <xf numFmtId="0" fontId="15" fillId="26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22" fontId="38" fillId="0" borderId="17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V0614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  <c:pt idx="7">
                  <c:v>2486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7-4143-8102-D110D6E84E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  <c:pt idx="7">
                  <c:v>2486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27-4143-8102-D110D6E84E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  <c:pt idx="7">
                  <c:v>2486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27-4143-8102-D110D6E84E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  <c:pt idx="7">
                  <c:v>2486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-1.9200009410269558E-4</c:v>
                </c:pt>
                <c:pt idx="2">
                  <c:v>1.665999909164384E-3</c:v>
                </c:pt>
                <c:pt idx="3">
                  <c:v>-8.7600009283050895E-4</c:v>
                </c:pt>
                <c:pt idx="4">
                  <c:v>1.9319999046274461E-3</c:v>
                </c:pt>
                <c:pt idx="5">
                  <c:v>4.3879999066120945E-3</c:v>
                </c:pt>
                <c:pt idx="6">
                  <c:v>1.1919999909878243E-2</c:v>
                </c:pt>
                <c:pt idx="7">
                  <c:v>1.2632000078156125E-2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27-4143-8102-D110D6E84E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  <c:pt idx="7">
                  <c:v>2486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27-4143-8102-D110D6E84E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  <c:pt idx="7">
                  <c:v>2486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27-4143-8102-D110D6E84E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  <c:pt idx="7">
                  <c:v>2486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27-4143-8102-D110D6E84E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  <c:pt idx="7">
                  <c:v>2486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-1.6250104403526837E-3</c:v>
                </c:pt>
                <c:pt idx="1">
                  <c:v>-4.4815100936005932E-4</c:v>
                </c:pt>
                <c:pt idx="2">
                  <c:v>3.7677677360845475E-4</c:v>
                </c:pt>
                <c:pt idx="3">
                  <c:v>1.201704556576969E-3</c:v>
                </c:pt>
                <c:pt idx="4">
                  <c:v>3.0824272836178137E-3</c:v>
                </c:pt>
                <c:pt idx="5">
                  <c:v>5.9710822505997102E-3</c:v>
                </c:pt>
                <c:pt idx="6">
                  <c:v>1.0537747315360564E-2</c:v>
                </c:pt>
                <c:pt idx="7">
                  <c:v>1.2373422791454321E-2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27-4143-8102-D110D6E84E0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  <c:pt idx="7">
                  <c:v>2486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27-4143-8102-D110D6E84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6648"/>
        <c:axId val="1"/>
      </c:scatterChart>
      <c:valAx>
        <c:axId val="83568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6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2888B2-D3D0-9A22-5999-4071802F6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42578125" customWidth="1"/>
  </cols>
  <sheetData>
    <row r="1" spans="1:23" s="14" customFormat="1" ht="20.25" x14ac:dyDescent="0.2">
      <c r="A1" s="45" t="s">
        <v>52</v>
      </c>
      <c r="F1" s="2" t="s">
        <v>42</v>
      </c>
      <c r="G1" s="3" t="s">
        <v>43</v>
      </c>
      <c r="H1" s="4"/>
      <c r="I1" s="5" t="s">
        <v>44</v>
      </c>
      <c r="J1" s="6" t="s">
        <v>42</v>
      </c>
      <c r="K1" s="7">
        <v>11.5632</v>
      </c>
      <c r="L1" s="8">
        <v>7.1749999999999998</v>
      </c>
      <c r="M1" s="9">
        <v>54852.850000000093</v>
      </c>
      <c r="N1" s="9">
        <v>2.239188</v>
      </c>
      <c r="O1" s="8" t="s">
        <v>45</v>
      </c>
      <c r="P1" s="14">
        <v>9.5299999999999994</v>
      </c>
      <c r="Q1" s="14">
        <v>9.83</v>
      </c>
      <c r="R1" s="14" t="s">
        <v>46</v>
      </c>
      <c r="S1" s="14" t="s">
        <v>47</v>
      </c>
      <c r="T1" s="14" t="s">
        <v>48</v>
      </c>
      <c r="U1" s="14" t="s">
        <v>49</v>
      </c>
      <c r="V1" s="14" t="s">
        <v>50</v>
      </c>
      <c r="W1" s="14" t="s">
        <v>51</v>
      </c>
    </row>
    <row r="2" spans="1:23" s="14" customFormat="1" ht="12.95" customHeight="1" x14ac:dyDescent="0.2">
      <c r="A2" s="14" t="s">
        <v>25</v>
      </c>
      <c r="B2" s="14" t="s">
        <v>45</v>
      </c>
      <c r="C2" s="15"/>
      <c r="D2" s="16"/>
    </row>
    <row r="3" spans="1:23" s="14" customFormat="1" ht="12.95" customHeight="1" thickBot="1" x14ac:dyDescent="0.25"/>
    <row r="4" spans="1:23" s="14" customFormat="1" ht="12.95" customHeight="1" thickTop="1" thickBot="1" x14ac:dyDescent="0.25">
      <c r="A4" s="17" t="s">
        <v>2</v>
      </c>
      <c r="C4" s="18">
        <v>54852.850000000093</v>
      </c>
      <c r="D4" s="19">
        <v>2.239188</v>
      </c>
      <c r="E4" s="20" t="s">
        <v>53</v>
      </c>
    </row>
    <row r="5" spans="1:23" s="14" customFormat="1" ht="12.95" customHeight="1" thickTop="1" x14ac:dyDescent="0.2">
      <c r="A5" s="21" t="s">
        <v>30</v>
      </c>
      <c r="C5" s="22">
        <v>-9.5</v>
      </c>
      <c r="D5" s="14" t="s">
        <v>31</v>
      </c>
    </row>
    <row r="6" spans="1:23" s="14" customFormat="1" ht="12.95" customHeight="1" x14ac:dyDescent="0.2">
      <c r="A6" s="17" t="s">
        <v>3</v>
      </c>
    </row>
    <row r="7" spans="1:23" s="14" customFormat="1" ht="12.95" customHeight="1" x14ac:dyDescent="0.2">
      <c r="A7" s="14" t="s">
        <v>4</v>
      </c>
      <c r="C7" s="46">
        <v>54852.850000000093</v>
      </c>
      <c r="D7" s="24" t="s">
        <v>67</v>
      </c>
    </row>
    <row r="8" spans="1:23" s="14" customFormat="1" ht="12.95" customHeight="1" x14ac:dyDescent="0.2">
      <c r="A8" s="14" t="s">
        <v>5</v>
      </c>
      <c r="C8" s="46">
        <v>2.239188</v>
      </c>
      <c r="D8" s="24" t="s">
        <v>67</v>
      </c>
      <c r="E8" s="25" t="s">
        <v>60</v>
      </c>
    </row>
    <row r="9" spans="1:23" s="14" customFormat="1" ht="12.95" customHeight="1" x14ac:dyDescent="0.2">
      <c r="A9" s="26" t="s">
        <v>33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23" s="14" customFormat="1" ht="12.95" customHeight="1" thickBot="1" x14ac:dyDescent="0.25">
      <c r="C10" s="30" t="s">
        <v>21</v>
      </c>
      <c r="D10" s="30" t="s">
        <v>22</v>
      </c>
    </row>
    <row r="11" spans="1:23" s="14" customFormat="1" ht="12.95" customHeight="1" x14ac:dyDescent="0.2">
      <c r="A11" s="14" t="s">
        <v>17</v>
      </c>
      <c r="C11" s="29">
        <f ca="1">INTERCEPT(INDIRECT($E$9):G992,INDIRECT($D$9):F992)</f>
        <v>-1.6250104403526837E-3</v>
      </c>
      <c r="D11" s="16"/>
    </row>
    <row r="12" spans="1:23" s="14" customFormat="1" ht="12.95" customHeight="1" x14ac:dyDescent="0.2">
      <c r="A12" s="14" t="s">
        <v>18</v>
      </c>
      <c r="C12" s="29">
        <f ca="1">SLOPE(INDIRECT($E$9):G992,INDIRECT($D$9):F992)</f>
        <v>5.6309063683857625E-6</v>
      </c>
      <c r="D12" s="16"/>
      <c r="E12" s="55" t="s">
        <v>63</v>
      </c>
      <c r="F12" s="56" t="s">
        <v>66</v>
      </c>
    </row>
    <row r="13" spans="1:23" s="14" customFormat="1" ht="12.95" customHeight="1" x14ac:dyDescent="0.2">
      <c r="A13" s="14" t="s">
        <v>20</v>
      </c>
      <c r="C13" s="16" t="s">
        <v>15</v>
      </c>
      <c r="E13" s="53" t="s">
        <v>35</v>
      </c>
      <c r="F13" s="57">
        <v>1</v>
      </c>
    </row>
    <row r="14" spans="1:23" s="14" customFormat="1" ht="12.95" customHeight="1" x14ac:dyDescent="0.2">
      <c r="E14" s="53" t="s">
        <v>32</v>
      </c>
      <c r="F14" s="58">
        <f ca="1">NOW()+15018.5+$C$5/24</f>
        <v>60685.856910300921</v>
      </c>
    </row>
    <row r="15" spans="1:23" s="14" customFormat="1" ht="12.95" customHeight="1" x14ac:dyDescent="0.2">
      <c r="A15" s="31" t="s">
        <v>19</v>
      </c>
      <c r="C15" s="32">
        <f ca="1">(C7+C11)+(C8+C12)*INT(MAX(F21:F3533))</f>
        <v>60419.48374142289</v>
      </c>
      <c r="E15" s="53" t="s">
        <v>36</v>
      </c>
      <c r="F15" s="58">
        <f ca="1">ROUND(2*($F$14-$C$7)/$C$8,0)/2+$F$13</f>
        <v>2606</v>
      </c>
    </row>
    <row r="16" spans="1:23" s="14" customFormat="1" ht="12.95" customHeight="1" x14ac:dyDescent="0.2">
      <c r="A16" s="17" t="s">
        <v>6</v>
      </c>
      <c r="C16" s="33">
        <f ca="1">+C8+C12</f>
        <v>2.2391936309063682</v>
      </c>
      <c r="E16" s="53" t="s">
        <v>37</v>
      </c>
      <c r="F16" s="58">
        <f ca="1">ROUND(2*($F$14-$C$15)/$C$16,0)/2+$F$13</f>
        <v>120</v>
      </c>
    </row>
    <row r="17" spans="1:21" s="14" customFormat="1" ht="12.95" customHeight="1" thickBot="1" x14ac:dyDescent="0.25">
      <c r="A17" s="25" t="s">
        <v>29</v>
      </c>
      <c r="C17" s="14">
        <f>COUNT(C21:C2191)</f>
        <v>8</v>
      </c>
      <c r="E17" s="53" t="s">
        <v>64</v>
      </c>
      <c r="F17" s="59">
        <f ca="1">+$C$15+$C$16*$F$16-15018.5-$C$5/24</f>
        <v>45670.082810464992</v>
      </c>
    </row>
    <row r="18" spans="1:21" s="14" customFormat="1" ht="12.95" customHeight="1" thickTop="1" thickBot="1" x14ac:dyDescent="0.25">
      <c r="A18" s="17" t="s">
        <v>7</v>
      </c>
      <c r="C18" s="34">
        <f ca="1">+C15</f>
        <v>60419.48374142289</v>
      </c>
      <c r="D18" s="52">
        <f ca="1">+C16</f>
        <v>2.2391936309063682</v>
      </c>
      <c r="E18" s="54" t="s">
        <v>65</v>
      </c>
      <c r="F18" s="60">
        <f ca="1">+($C$15+$C$16*$F$16)-($C$16/2)-15018.5-$C$5/24</f>
        <v>45668.963213649542</v>
      </c>
    </row>
    <row r="19" spans="1:21" s="14" customFormat="1" ht="12.95" customHeight="1" thickTop="1" x14ac:dyDescent="0.2">
      <c r="E19" s="25"/>
      <c r="F19" s="35"/>
      <c r="R19" s="14">
        <f ca="1">SQRT(SUM(R21:R26)/6)</f>
        <v>1.4442332445650005E-3</v>
      </c>
    </row>
    <row r="20" spans="1:21" s="14" customFormat="1" ht="12.95" customHeight="1" thickBot="1" x14ac:dyDescent="0.25">
      <c r="A20" s="30" t="s">
        <v>8</v>
      </c>
      <c r="B20" s="30" t="s">
        <v>9</v>
      </c>
      <c r="C20" s="30" t="s">
        <v>10</v>
      </c>
      <c r="D20" s="30" t="s">
        <v>14</v>
      </c>
      <c r="E20" s="30" t="s">
        <v>11</v>
      </c>
      <c r="F20" s="30" t="s">
        <v>12</v>
      </c>
      <c r="G20" s="30" t="s">
        <v>13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26</v>
      </c>
      <c r="M20" s="36" t="s">
        <v>27</v>
      </c>
      <c r="N20" s="36" t="s">
        <v>28</v>
      </c>
      <c r="O20" s="36" t="s">
        <v>24</v>
      </c>
      <c r="P20" s="37" t="s">
        <v>23</v>
      </c>
      <c r="Q20" s="30" t="s">
        <v>16</v>
      </c>
      <c r="U20" s="38" t="s">
        <v>34</v>
      </c>
    </row>
    <row r="21" spans="1:21" s="14" customFormat="1" ht="12.95" customHeight="1" x14ac:dyDescent="0.2">
      <c r="A21" s="14" t="s">
        <v>54</v>
      </c>
      <c r="C21" s="23">
        <v>54852.850000000093</v>
      </c>
      <c r="D21" s="23" t="s">
        <v>15</v>
      </c>
      <c r="E21" s="14">
        <f t="shared" ref="E21:E26" si="0">+(C21-C$7)/C$8</f>
        <v>0</v>
      </c>
      <c r="F21" s="14">
        <f t="shared" ref="F21:F26" si="1">ROUND(2*E21,0)/2</f>
        <v>0</v>
      </c>
      <c r="G21" s="14">
        <f t="shared" ref="G21:G26" si="2">+C21-(C$7+F21*C$8)</f>
        <v>0</v>
      </c>
      <c r="I21" s="14">
        <f>+G21</f>
        <v>0</v>
      </c>
      <c r="O21" s="14">
        <f t="shared" ref="O21:O26" ca="1" si="3">+C$11+C$12*$F21</f>
        <v>-1.6250104403526837E-3</v>
      </c>
      <c r="Q21" s="39">
        <f t="shared" ref="Q21:Q26" si="4">+C21-15018.5</f>
        <v>39834.350000000093</v>
      </c>
      <c r="R21" s="14">
        <f t="shared" ref="R21:R26" ca="1" si="5">(O21-G21)^2</f>
        <v>2.6406589312552226E-6</v>
      </c>
    </row>
    <row r="22" spans="1:21" s="14" customFormat="1" ht="12.95" customHeight="1" x14ac:dyDescent="0.2">
      <c r="A22" s="10" t="s">
        <v>55</v>
      </c>
      <c r="B22" s="11" t="s">
        <v>1</v>
      </c>
      <c r="C22" s="10">
        <v>55320.840100000001</v>
      </c>
      <c r="D22" s="10">
        <v>2.0000000000000001E-4</v>
      </c>
      <c r="E22" s="14">
        <f t="shared" si="0"/>
        <v>208.99991425459055</v>
      </c>
      <c r="F22" s="14">
        <f t="shared" si="1"/>
        <v>209</v>
      </c>
      <c r="G22" s="14">
        <f t="shared" si="2"/>
        <v>-1.9200009410269558E-4</v>
      </c>
      <c r="K22" s="14">
        <f>+G22</f>
        <v>-1.9200009410269558E-4</v>
      </c>
      <c r="O22" s="14">
        <f t="shared" ca="1" si="3"/>
        <v>-4.4815100936005932E-4</v>
      </c>
      <c r="Q22" s="39">
        <f t="shared" si="4"/>
        <v>40302.340100000001</v>
      </c>
      <c r="R22" s="14">
        <f t="shared" ca="1" si="5"/>
        <v>6.5613291387185143E-8</v>
      </c>
    </row>
    <row r="23" spans="1:21" s="14" customFormat="1" ht="12.95" customHeight="1" x14ac:dyDescent="0.2">
      <c r="A23" s="10" t="s">
        <v>56</v>
      </c>
      <c r="B23" s="11" t="s">
        <v>57</v>
      </c>
      <c r="C23" s="10">
        <v>55648.883000000002</v>
      </c>
      <c r="D23" s="10">
        <v>2.0000000000000001E-4</v>
      </c>
      <c r="E23" s="14">
        <f t="shared" si="0"/>
        <v>355.50074401966629</v>
      </c>
      <c r="F23" s="14">
        <f t="shared" si="1"/>
        <v>355.5</v>
      </c>
      <c r="G23" s="14">
        <f t="shared" si="2"/>
        <v>1.665999909164384E-3</v>
      </c>
      <c r="K23" s="14">
        <f>+G23</f>
        <v>1.665999909164384E-3</v>
      </c>
      <c r="O23" s="14">
        <f t="shared" ca="1" si="3"/>
        <v>3.7677677360845475E-4</v>
      </c>
      <c r="Q23" s="39">
        <f t="shared" si="4"/>
        <v>40630.383000000002</v>
      </c>
      <c r="R23" s="14">
        <f t="shared" ca="1" si="5"/>
        <v>1.662096293252662E-6</v>
      </c>
    </row>
    <row r="24" spans="1:21" s="14" customFormat="1" ht="12.95" customHeight="1" x14ac:dyDescent="0.2">
      <c r="A24" s="10" t="s">
        <v>58</v>
      </c>
      <c r="B24" s="11" t="s">
        <v>1</v>
      </c>
      <c r="C24" s="10">
        <v>55976.921499999997</v>
      </c>
      <c r="D24" s="10">
        <v>4.0000000000000002E-4</v>
      </c>
      <c r="E24" s="14">
        <f t="shared" si="0"/>
        <v>501.99960878671357</v>
      </c>
      <c r="F24" s="14">
        <f t="shared" si="1"/>
        <v>502</v>
      </c>
      <c r="G24" s="14">
        <f t="shared" si="2"/>
        <v>-8.7600009283050895E-4</v>
      </c>
      <c r="K24" s="14">
        <f>+G24</f>
        <v>-8.7600009283050895E-4</v>
      </c>
      <c r="O24" s="14">
        <f t="shared" ca="1" si="3"/>
        <v>1.201704556576969E-3</v>
      </c>
      <c r="Q24" s="39">
        <f t="shared" si="4"/>
        <v>40958.421499999997</v>
      </c>
      <c r="R24" s="14">
        <f t="shared" ca="1" si="5"/>
        <v>4.3168566101694507E-6</v>
      </c>
    </row>
    <row r="25" spans="1:21" s="14" customFormat="1" ht="12.95" customHeight="1" x14ac:dyDescent="0.2">
      <c r="A25" s="40" t="s">
        <v>59</v>
      </c>
      <c r="B25" s="41" t="s">
        <v>1</v>
      </c>
      <c r="C25" s="40">
        <v>56724.813099999999</v>
      </c>
      <c r="D25" s="40">
        <v>2.9999999999999997E-4</v>
      </c>
      <c r="E25" s="14">
        <f t="shared" si="0"/>
        <v>836.00086281272775</v>
      </c>
      <c r="F25" s="14">
        <f t="shared" si="1"/>
        <v>836</v>
      </c>
      <c r="G25" s="14">
        <f t="shared" si="2"/>
        <v>1.9319999046274461E-3</v>
      </c>
      <c r="K25" s="14">
        <f>+G25</f>
        <v>1.9319999046274461E-3</v>
      </c>
      <c r="O25" s="14">
        <f t="shared" ca="1" si="3"/>
        <v>3.0824272836178137E-3</v>
      </c>
      <c r="Q25" s="39">
        <f t="shared" si="4"/>
        <v>41706.313099999999</v>
      </c>
      <c r="R25" s="14">
        <f t="shared" ca="1" si="5"/>
        <v>1.3234831543306469E-6</v>
      </c>
    </row>
    <row r="26" spans="1:21" s="14" customFormat="1" ht="12.95" customHeight="1" x14ac:dyDescent="0.2">
      <c r="A26" s="42" t="s">
        <v>0</v>
      </c>
      <c r="B26" s="43" t="s">
        <v>1</v>
      </c>
      <c r="C26" s="44">
        <v>57873.519</v>
      </c>
      <c r="D26" s="44">
        <v>1E-3</v>
      </c>
      <c r="E26" s="14">
        <f t="shared" si="0"/>
        <v>1349.0019596388991</v>
      </c>
      <c r="F26" s="14">
        <f t="shared" si="1"/>
        <v>1349</v>
      </c>
      <c r="G26" s="14">
        <f t="shared" si="2"/>
        <v>4.3879999066120945E-3</v>
      </c>
      <c r="K26" s="14">
        <f>+G26</f>
        <v>4.3879999066120945E-3</v>
      </c>
      <c r="O26" s="14">
        <f t="shared" ca="1" si="3"/>
        <v>5.9710822505997102E-3</v>
      </c>
      <c r="Q26" s="39">
        <f t="shared" si="4"/>
        <v>42855.019</v>
      </c>
      <c r="R26" s="14">
        <f t="shared" ca="1" si="5"/>
        <v>2.5061497078453237E-6</v>
      </c>
    </row>
    <row r="27" spans="1:21" s="14" customFormat="1" ht="12.95" customHeight="1" x14ac:dyDescent="0.2">
      <c r="A27" s="12" t="s">
        <v>61</v>
      </c>
      <c r="B27" s="13" t="s">
        <v>57</v>
      </c>
      <c r="C27" s="47">
        <v>59689.508000000002</v>
      </c>
      <c r="D27" s="48">
        <v>1E-3</v>
      </c>
      <c r="E27" s="14">
        <f t="shared" ref="E27" si="6">+(C27-C$7)/C$8</f>
        <v>2160.005323358248</v>
      </c>
      <c r="F27" s="14">
        <f t="shared" ref="F27" si="7">ROUND(2*E27,0)/2</f>
        <v>2160</v>
      </c>
      <c r="G27" s="14">
        <f t="shared" ref="G27" si="8">+C27-(C$7+F27*C$8)</f>
        <v>1.1919999909878243E-2</v>
      </c>
      <c r="K27" s="14">
        <f>+G27</f>
        <v>1.1919999909878243E-2</v>
      </c>
      <c r="O27" s="14">
        <f t="shared" ref="O27" ca="1" si="9">+C$11+C$12*$F27</f>
        <v>1.0537747315360564E-2</v>
      </c>
      <c r="Q27" s="39">
        <f t="shared" ref="Q27" si="10">+C27-15018.5</f>
        <v>44671.008000000002</v>
      </c>
      <c r="R27" s="14">
        <f t="shared" ref="R27" ca="1" si="11">(O27-G27)^2</f>
        <v>1.910622235050854E-6</v>
      </c>
    </row>
    <row r="28" spans="1:21" s="14" customFormat="1" ht="12.95" customHeight="1" x14ac:dyDescent="0.2">
      <c r="A28" s="49" t="s">
        <v>62</v>
      </c>
      <c r="B28" s="50" t="s">
        <v>1</v>
      </c>
      <c r="C28" s="51">
        <v>60419.484000000171</v>
      </c>
      <c r="D28" s="49">
        <v>1E-3</v>
      </c>
      <c r="E28" s="14">
        <f t="shared" ref="E28" si="12">+(C28-C$7)/C$8</f>
        <v>2486.0056413307316</v>
      </c>
      <c r="F28" s="14">
        <f t="shared" ref="F28" si="13">ROUND(2*E28,0)/2</f>
        <v>2486</v>
      </c>
      <c r="G28" s="14">
        <f t="shared" ref="G28" si="14">+C28-(C$7+F28*C$8)</f>
        <v>1.2632000078156125E-2</v>
      </c>
      <c r="K28" s="14">
        <f>+G28</f>
        <v>1.2632000078156125E-2</v>
      </c>
      <c r="O28" s="14">
        <f t="shared" ref="O28" ca="1" si="15">+C$11+C$12*$F28</f>
        <v>1.2373422791454321E-2</v>
      </c>
      <c r="Q28" s="39">
        <f t="shared" ref="Q28" si="16">+C28-15018.5</f>
        <v>45400.984000000171</v>
      </c>
      <c r="R28" s="14">
        <f t="shared" ref="R28" ca="1" si="17">(O28-G28)^2</f>
        <v>6.686221319806698E-8</v>
      </c>
    </row>
    <row r="29" spans="1:21" s="14" customFormat="1" ht="12.95" customHeight="1" x14ac:dyDescent="0.2">
      <c r="C29" s="23"/>
      <c r="D29" s="23"/>
      <c r="Q29" s="39"/>
    </row>
    <row r="30" spans="1:21" s="14" customFormat="1" ht="12.95" customHeight="1" x14ac:dyDescent="0.2">
      <c r="C30" s="23"/>
      <c r="D30" s="23"/>
      <c r="Q30" s="39"/>
    </row>
    <row r="31" spans="1:21" s="14" customFormat="1" ht="12.95" customHeight="1" x14ac:dyDescent="0.2">
      <c r="C31" s="23"/>
      <c r="D31" s="23"/>
      <c r="Q31" s="39"/>
    </row>
    <row r="32" spans="1:21" s="14" customFormat="1" ht="12.95" customHeight="1" x14ac:dyDescent="0.2">
      <c r="C32" s="23"/>
      <c r="D32" s="23"/>
      <c r="Q32" s="39"/>
    </row>
    <row r="33" spans="3:17" s="14" customFormat="1" ht="12.95" customHeight="1" x14ac:dyDescent="0.2">
      <c r="C33" s="23"/>
      <c r="D33" s="23"/>
      <c r="Q33" s="39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hyperlinks>
    <hyperlink ref="H62051" r:id="rId1" display="http://vsolj.cetus-net.org/bulletin.html" xr:uid="{00000000-0004-0000-0000-000000000000}"/>
    <hyperlink ref="H62044" r:id="rId2" display="https://www.aavso.org/ejaavso" xr:uid="{00000000-0004-0000-0000-000001000000}"/>
    <hyperlink ref="I62051" r:id="rId3" display="http://vsolj.cetus-net.org/bulletin.html" xr:uid="{00000000-0004-0000-0000-000002000000}"/>
    <hyperlink ref="AQ55694" r:id="rId4" display="http://cdsbib.u-strasbg.fr/cgi-bin/cdsbib?1990RMxAA..21..381G" xr:uid="{00000000-0004-0000-0000-000003000000}"/>
    <hyperlink ref="H62048" r:id="rId5" display="https://www.aavso.org/ejaavso" xr:uid="{00000000-0004-0000-0000-000004000000}"/>
    <hyperlink ref="AP3058" r:id="rId6" display="http://cdsbib.u-strasbg.fr/cgi-bin/cdsbib?1990RMxAA..21..381G" xr:uid="{00000000-0004-0000-0000-000005000000}"/>
    <hyperlink ref="AP3061" r:id="rId7" display="http://cdsbib.u-strasbg.fr/cgi-bin/cdsbib?1990RMxAA..21..381G" xr:uid="{00000000-0004-0000-0000-000006000000}"/>
    <hyperlink ref="AP3059" r:id="rId8" display="http://cdsbib.u-strasbg.fr/cgi-bin/cdsbib?1990RMxAA..21..381G" xr:uid="{00000000-0004-0000-0000-000007000000}"/>
    <hyperlink ref="AP3043" r:id="rId9" display="http://cdsbib.u-strasbg.fr/cgi-bin/cdsbib?1990RMxAA..21..381G" xr:uid="{00000000-0004-0000-0000-000008000000}"/>
    <hyperlink ref="AQ3272" r:id="rId10" display="http://cdsbib.u-strasbg.fr/cgi-bin/cdsbib?1990RMxAA..21..381G" xr:uid="{00000000-0004-0000-0000-000009000000}"/>
    <hyperlink ref="AQ3276" r:id="rId11" display="http://cdsbib.u-strasbg.fr/cgi-bin/cdsbib?1990RMxAA..21..381G" xr:uid="{00000000-0004-0000-0000-00000A000000}"/>
    <hyperlink ref="AQ62964" r:id="rId12" display="http://cdsbib.u-strasbg.fr/cgi-bin/cdsbib?1990RMxAA..21..381G" xr:uid="{00000000-0004-0000-0000-00000B000000}"/>
    <hyperlink ref="I164" r:id="rId13" display="http://vsolj.cetus-net.org/bulletin.html" xr:uid="{00000000-0004-0000-0000-00000C000000}"/>
    <hyperlink ref="H164" r:id="rId14" display="http://vsolj.cetus-net.org/bulletin.html" xr:uid="{00000000-0004-0000-0000-00000D000000}"/>
    <hyperlink ref="AQ63625" r:id="rId15" display="http://cdsbib.u-strasbg.fr/cgi-bin/cdsbib?1990RMxAA..21..381G" xr:uid="{00000000-0004-0000-0000-00000E000000}"/>
    <hyperlink ref="AQ63624" r:id="rId16" display="http://cdsbib.u-strasbg.fr/cgi-bin/cdsbib?1990RMxAA..21..381G" xr:uid="{00000000-0004-0000-0000-00000F000000}"/>
    <hyperlink ref="AP1334" r:id="rId17" display="http://cdsbib.u-strasbg.fr/cgi-bin/cdsbib?1990RMxAA..21..381G" xr:uid="{00000000-0004-0000-0000-000010000000}"/>
    <hyperlink ref="AP1352" r:id="rId18" display="http://cdsbib.u-strasbg.fr/cgi-bin/cdsbib?1990RMxAA..21..381G" xr:uid="{00000000-0004-0000-0000-000011000000}"/>
    <hyperlink ref="AP1353" r:id="rId19" display="http://cdsbib.u-strasbg.fr/cgi-bin/cdsbib?1990RMxAA..21..381G" xr:uid="{00000000-0004-0000-0000-000012000000}"/>
    <hyperlink ref="AP134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2025-01-10T07:33:57Z</dcterms:modified>
</cp:coreProperties>
</file>