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640DFE8-08B9-40F9-8D5F-8D546A745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2" i="1"/>
  <c r="F22" i="1" s="1"/>
  <c r="G22" i="1" s="1"/>
  <c r="K22" i="1" s="1"/>
  <c r="Q22" i="1"/>
  <c r="F14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 s="1"/>
  <c r="G29" i="1" s="1"/>
  <c r="K29" i="1" s="1"/>
  <c r="Q29" i="1"/>
  <c r="D9" i="1"/>
  <c r="C9" i="1"/>
  <c r="E23" i="1"/>
  <c r="F23" i="1" s="1"/>
  <c r="G23" i="1" s="1"/>
  <c r="K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K26" i="1" s="1"/>
  <c r="E21" i="1"/>
  <c r="F21" i="1" s="1"/>
  <c r="G21" i="1" s="1"/>
  <c r="I21" i="1" s="1"/>
  <c r="C17" i="1"/>
  <c r="Q21" i="1"/>
  <c r="Q23" i="1"/>
  <c r="Q24" i="1"/>
  <c r="Q25" i="1"/>
  <c r="Q26" i="1"/>
  <c r="C11" i="1"/>
  <c r="C12" i="1"/>
  <c r="O22" i="1" l="1"/>
  <c r="O30" i="1"/>
  <c r="F15" i="1"/>
  <c r="O29" i="1"/>
  <c r="O28" i="1"/>
  <c r="O27" i="1"/>
  <c r="C16" i="1"/>
  <c r="D18" i="1" s="1"/>
  <c r="O26" i="1"/>
  <c r="O21" i="1"/>
  <c r="O24" i="1"/>
  <c r="O25" i="1"/>
  <c r="O23" i="1"/>
  <c r="C15" i="1"/>
  <c r="F16" i="1" s="1"/>
  <c r="F18" i="1" l="1"/>
  <c r="F17" i="1"/>
  <c r="C18" i="1"/>
</calcChain>
</file>

<file path=xl/sharedStrings.xml><?xml version="1.0" encoding="utf-8"?>
<sst xmlns="http://schemas.openxmlformats.org/spreadsheetml/2006/main" count="76" uniqueCount="62">
  <si>
    <t>G4958-0697_Vir.xls</t>
  </si>
  <si>
    <t>System Type:</t>
  </si>
  <si>
    <t>Constell:</t>
  </si>
  <si>
    <t>Vir</t>
  </si>
  <si>
    <t>G4958-0697</t>
  </si>
  <si>
    <t>GCVS 4 Eph.</t>
  </si>
  <si>
    <t>not avail.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</si>
  <si>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</si>
  <si>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</si>
  <si>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</si>
  <si>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</si>
  <si>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</si>
  <si>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</si>
  <si>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</si>
  <si>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</si>
  <si>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</si>
  <si>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</si>
  <si>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</si>
  <si>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</si>
  <si>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</si>
  <si>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</si>
  <si>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</si>
  <si>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</si>
  <si>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</si>
  <si>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</si>
  <si>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New Ephemeris =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</si>
  <si>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</si>
  <si>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</si>
  <si>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</si>
  <si>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</si>
  <si>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</si>
  <si>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</si>
  <si>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</si>
  <si>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</si>
  <si>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S5</t>
  </si>
  <si>
    <t>S6</t>
  </si>
  <si>
    <t>Misc</t>
  </si>
  <si>
    <t>Lin Fit</t>
  </si>
  <si>
    <t>Q. Fit</t>
  </si>
  <si>
    <t>Date</t>
  </si>
  <si>
    <t>IBVS 5992</t>
  </si>
  <si>
    <t>II</t>
  </si>
  <si>
    <t>IBVS 6029</t>
  </si>
  <si>
    <t>I</t>
  </si>
  <si>
    <t>VSB 069</t>
  </si>
  <si>
    <t>Ic</t>
  </si>
  <si>
    <t>V0700 Vir / GSC 4958-0697</t>
  </si>
  <si>
    <t>pg</t>
  </si>
  <si>
    <t>vis</t>
  </si>
  <si>
    <t>PE</t>
  </si>
  <si>
    <t>CCD</t>
  </si>
  <si>
    <t>BAD?</t>
  </si>
  <si>
    <t>JBAV, 55</t>
  </si>
  <si>
    <t>JBAV, 63</t>
  </si>
  <si>
    <t>JBAV 96</t>
  </si>
  <si>
    <t xml:space="preserve">Mag </t>
  </si>
  <si>
    <t>Next ToM-P</t>
  </si>
  <si>
    <t>Next ToM-S</t>
  </si>
  <si>
    <t>10.35-10.81</t>
  </si>
  <si>
    <t>VSX 1</t>
  </si>
  <si>
    <t>VSX 2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</si>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</sst>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</cellStyleXfs>
  <cellXfs count="54">
    <xf numFmtId="0" fontId="0" fillId="0" borderId="0" xfId="0">
      <alignment vertical="top"/>
    </xf>
    <xf numFmtId="0" fontId="0" fillId="0" borderId="0" xfId="0" applyAlignment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0" fillId="0" borderId="0" xfId="0" applyNumberFormat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6" fontId="12" fillId="0" borderId="0" xfId="0" applyNumberFormat="1" applyFont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V0700 Vir - O-C Diagr.</a:t>
            </a:r>
          </a:p>
        </c:rich>
      </c:tx>
      <c:layout>
        <c:manualLayout>
          <c:xMode val="edge"/>
          <c:yMode val="edge"/>
          <c:x val="0.36541353383458647"/>
          <c:y val="1.7543859649122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40601503759404E-2"/>
          <c:y val="0.10818744342631643"/>
          <c:w val="0.85563909774436087"/>
          <c:h val="0.716376314579662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C-4870-BB19-0629C6BFCB8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Active!$I$21:$I$250</c:f>
              <c:numCache>
                <c:formatCode>General</c:formatCode>
                <c:ptCount val="230"/>
                <c:pt idx="0">
                  <c:v>3.5294999979669228E-3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C-4870-BB19-0629C6BFCB8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Active!$J$21:$J$250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2C-4870-BB19-0629C6BFCB8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Active!$K$21:$K$250</c:f>
              <c:numCache>
                <c:formatCode>General</c:formatCode>
                <c:ptCount val="230"/>
                <c:pt idx="1">
                  <c:v>0</c:v>
                </c:pt>
                <c:pt idx="2">
                  <c:v>1.7300499996053986E-2</c:v>
                </c:pt>
                <c:pt idx="3">
                  <c:v>6.9694999983767048E-3</c:v>
                </c:pt>
                <c:pt idx="4">
                  <c:v>8.4320000023581088E-3</c:v>
                </c:pt>
                <c:pt idx="5">
                  <c:v>5.7790000064414926E-3</c:v>
                </c:pt>
                <c:pt idx="6">
                  <c:v>1.5799000000697561E-2</c:v>
                </c:pt>
                <c:pt idx="7">
                  <c:v>1.5968499996233732E-2</c:v>
                </c:pt>
                <c:pt idx="8">
                  <c:v>2.0713000005343929E-2</c:v>
                </c:pt>
                <c:pt idx="9">
                  <c:v>1.7431999956897926E-2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2C-4870-BB19-0629C6BFCB8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Active!$L$21:$L$250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2C-4870-BB19-0629C6BFCB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Active!$M$21:$M$250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2C-4870-BB19-0629C6BFCB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Active!$N$21:$N$250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2C-4870-BB19-0629C6BFCB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Active!$O$21:$O$250</c:f>
              <c:numCache>
                <c:formatCode>General</c:formatCode>
                <c:ptCount val="230"/>
                <c:pt idx="0">
                  <c:v>2.3968352986083845E-4</c:v>
                </c:pt>
                <c:pt idx="1">
                  <c:v>4.2428546166834525E-3</c:v>
                </c:pt>
                <c:pt idx="2">
                  <c:v>7.8160569779987237E-3</c:v>
                </c:pt>
                <c:pt idx="3">
                  <c:v>8.5632290462860118E-3</c:v>
                </c:pt>
                <c:pt idx="4">
                  <c:v>8.6950590800500566E-3</c:v>
                </c:pt>
                <c:pt idx="5">
                  <c:v>1.4473676498519501E-2</c:v>
                </c:pt>
                <c:pt idx="6">
                  <c:v>1.5430965359083022E-2</c:v>
                </c:pt>
                <c:pt idx="7">
                  <c:v>1.6100661930604367E-2</c:v>
                </c:pt>
                <c:pt idx="8">
                  <c:v>1.6101067561477486E-2</c:v>
                </c:pt>
                <c:pt idx="9">
                  <c:v>1.6969928891700816E-2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2C-4870-BB19-0629C6BFCB8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-4934.5</c:v>
                </c:pt>
                <c:pt idx="1">
                  <c:v>0</c:v>
                </c:pt>
                <c:pt idx="2">
                  <c:v>4404.5</c:v>
                </c:pt>
                <c:pt idx="3">
                  <c:v>5325.5</c:v>
                </c:pt>
                <c:pt idx="4">
                  <c:v>5488</c:v>
                </c:pt>
                <c:pt idx="5">
                  <c:v>12611</c:v>
                </c:pt>
                <c:pt idx="6">
                  <c:v>13791</c:v>
                </c:pt>
                <c:pt idx="7">
                  <c:v>14616.5</c:v>
                </c:pt>
                <c:pt idx="8">
                  <c:v>14617</c:v>
                </c:pt>
                <c:pt idx="9">
                  <c:v>15688</c:v>
                </c:pt>
              </c:numCache>
            </c:numRef>
          </c:xVal>
          <c:yVal>
            <c:numRef>
              <c:f>Active!$U$21:$U$250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2C-4870-BB19-0629C6BFC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642712"/>
        <c:axId val="1"/>
      </c:scatterChart>
      <c:valAx>
        <c:axId val="842642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879699248120306"/>
              <c:y val="0.92105539439149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0225563909774441E-3"/>
              <c:y val="0.377194210372826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642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4436090225564"/>
          <c:y val="0.91813141778330343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6C2EB36-51D7-2323-3E54-FC1A439A1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1" style="1" customWidth="1"/>
    <col min="6" max="6" width="17.5703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6" customWidth="1"/>
    <col min="18" max="18" width="9.140625" customWidth="1"/>
    <col min="19" max="16384" width="10.28515625" style="1"/>
  </cols>
  <sheetData>
    <row r="1" spans="1:17" s="9" customFormat="1" ht="20.25" x14ac:dyDescent="0.2">
      <c r="A1" s="34" t="s">
        <v>46</v>
      </c>
      <c r="E1" s="9" t="s">
        <v>0</v>
      </c>
      <c r="Q1" s="12"/>
    </row>
    <row r="2" spans="1:17" s="9" customFormat="1" ht="12.95" customHeight="1" x14ac:dyDescent="0.2">
      <c r="A2" s="9" t="s">
        <v>1</v>
      </c>
      <c r="B2" s="9" t="s">
        <v>61</v>
      </c>
      <c r="C2" s="10" t="s">
        <v>2</v>
      </c>
      <c r="D2" s="11" t="s">
        <v>3</v>
      </c>
      <c r="E2" s="2" t="s">
        <v>4</v>
      </c>
      <c r="F2" s="9" t="e">
        <v>#N/A</v>
      </c>
      <c r="Q2" s="12"/>
    </row>
    <row r="3" spans="1:17" s="9" customFormat="1" ht="12.95" customHeight="1" thickBot="1" x14ac:dyDescent="0.25">
      <c r="Q3" s="12"/>
    </row>
    <row r="4" spans="1:17" s="9" customFormat="1" ht="12.95" customHeight="1" thickTop="1" thickBot="1" x14ac:dyDescent="0.25">
      <c r="A4" s="13" t="s">
        <v>5</v>
      </c>
      <c r="C4" s="14" t="s">
        <v>6</v>
      </c>
      <c r="D4" s="15" t="s">
        <v>6</v>
      </c>
      <c r="Q4" s="12"/>
    </row>
    <row r="5" spans="1:17" s="9" customFormat="1" ht="12.95" customHeight="1" thickTop="1" x14ac:dyDescent="0.2">
      <c r="A5" s="16" t="s">
        <v>10</v>
      </c>
      <c r="C5" s="17">
        <v>-9.5</v>
      </c>
      <c r="D5" s="9" t="s">
        <v>11</v>
      </c>
      <c r="Q5" s="12"/>
    </row>
    <row r="6" spans="1:17" s="9" customFormat="1" ht="12.95" customHeight="1" x14ac:dyDescent="0.2">
      <c r="A6" s="13" t="s">
        <v>7</v>
      </c>
      <c r="Q6" s="12"/>
    </row>
    <row r="7" spans="1:17" s="9" customFormat="1" ht="12.95" customHeight="1" x14ac:dyDescent="0.2">
      <c r="A7" s="9" t="s">
        <v>8</v>
      </c>
      <c r="C7" s="35">
        <v>53867.618999999999</v>
      </c>
      <c r="D7" s="19" t="s">
        <v>60</v>
      </c>
      <c r="E7" s="50">
        <v>51901.17</v>
      </c>
      <c r="F7" s="51" t="s">
        <v>59</v>
      </c>
      <c r="Q7" s="12"/>
    </row>
    <row r="8" spans="1:17" s="9" customFormat="1" ht="12.95" customHeight="1" x14ac:dyDescent="0.2">
      <c r="A8" s="9" t="s">
        <v>9</v>
      </c>
      <c r="C8" s="35">
        <v>0.398511</v>
      </c>
      <c r="D8" s="19" t="s">
        <v>60</v>
      </c>
      <c r="E8" s="52">
        <v>0.398509</v>
      </c>
      <c r="F8" s="53" t="s">
        <v>59</v>
      </c>
      <c r="Q8" s="12"/>
    </row>
    <row r="9" spans="1:17" s="9" customFormat="1" ht="12.95" customHeight="1" x14ac:dyDescent="0.2">
      <c r="A9" s="20" t="s">
        <v>26</v>
      </c>
      <c r="B9" s="21">
        <v>22</v>
      </c>
      <c r="C9" s="22" t="str">
        <f>"F"&amp;B9</f>
        <v>F22</v>
      </c>
      <c r="D9" s="23" t="str">
        <f>"G"&amp;B9</f>
        <v>G22</v>
      </c>
      <c r="Q9" s="12"/>
    </row>
    <row r="10" spans="1:17" s="9" customFormat="1" ht="12.95" customHeight="1" thickBot="1" x14ac:dyDescent="0.25">
      <c r="C10" s="24" t="s">
        <v>12</v>
      </c>
      <c r="D10" s="24" t="s">
        <v>13</v>
      </c>
      <c r="Q10" s="12"/>
    </row>
    <row r="11" spans="1:17" s="9" customFormat="1" ht="12.95" customHeight="1" x14ac:dyDescent="0.2">
      <c r="A11" s="9" t="s">
        <v>14</v>
      </c>
      <c r="C11" s="23">
        <f ca="1">INTERCEPT(INDIRECT($D$9):G992,INDIRECT($C$9):F992)</f>
        <v>4.2428546166834525E-3</v>
      </c>
      <c r="D11" s="11"/>
      <c r="Q11" s="12"/>
    </row>
    <row r="12" spans="1:17" s="9" customFormat="1" ht="12.95" customHeight="1" x14ac:dyDescent="0.2">
      <c r="A12" s="9" t="s">
        <v>15</v>
      </c>
      <c r="C12" s="23">
        <f ca="1">SLOPE(INDIRECT($D$9):G992,INDIRECT($C$9):F992)</f>
        <v>8.1126174624027043E-7</v>
      </c>
      <c r="D12" s="11"/>
      <c r="E12" s="44" t="s">
        <v>55</v>
      </c>
      <c r="F12" s="45" t="s">
        <v>58</v>
      </c>
      <c r="Q12" s="12"/>
    </row>
    <row r="13" spans="1:17" s="9" customFormat="1" ht="12.95" customHeight="1" x14ac:dyDescent="0.2">
      <c r="A13" s="9" t="s">
        <v>16</v>
      </c>
      <c r="C13" s="11" t="s">
        <v>17</v>
      </c>
      <c r="E13" s="42" t="s">
        <v>18</v>
      </c>
      <c r="F13" s="46">
        <v>1</v>
      </c>
      <c r="Q13" s="12"/>
    </row>
    <row r="14" spans="1:17" s="9" customFormat="1" ht="12.95" customHeight="1" x14ac:dyDescent="0.2">
      <c r="E14" s="42" t="s">
        <v>19</v>
      </c>
      <c r="F14" s="47">
        <f ca="1">NOW()+15018.5+$C$5/24</f>
        <v>60685.860129745372</v>
      </c>
      <c r="Q14" s="12"/>
    </row>
    <row r="15" spans="1:17" s="9" customFormat="1" ht="12.95" customHeight="1" x14ac:dyDescent="0.2">
      <c r="A15" s="13" t="s">
        <v>20</v>
      </c>
      <c r="C15" s="25">
        <f ca="1">(C7+C11)+(C8+C12)*INT(MAX(F21:F3533))</f>
        <v>60119.476537928887</v>
      </c>
      <c r="E15" s="42" t="s">
        <v>21</v>
      </c>
      <c r="F15" s="47">
        <f ca="1">ROUND(2*($F$14-$C$7)/$C$8,0)/2+$F$13</f>
        <v>17110.5</v>
      </c>
      <c r="Q15" s="12"/>
    </row>
    <row r="16" spans="1:17" s="9" customFormat="1" ht="12.95" customHeight="1" x14ac:dyDescent="0.2">
      <c r="A16" s="13" t="s">
        <v>22</v>
      </c>
      <c r="C16" s="25">
        <f ca="1">+C8+C12</f>
        <v>0.39851181126174623</v>
      </c>
      <c r="E16" s="42" t="s">
        <v>23</v>
      </c>
      <c r="F16" s="47">
        <f ca="1">ROUND(2*($F$14-$C$15)/$C$16,0)/2+$F$13</f>
        <v>1422</v>
      </c>
      <c r="Q16" s="12"/>
    </row>
    <row r="17" spans="1:21" s="9" customFormat="1" ht="12.95" customHeight="1" thickBot="1" x14ac:dyDescent="0.25">
      <c r="A17" s="20" t="s">
        <v>24</v>
      </c>
      <c r="C17" s="9">
        <f>COUNT(C21:C2191)</f>
        <v>10</v>
      </c>
      <c r="E17" s="42" t="s">
        <v>56</v>
      </c>
      <c r="F17" s="48">
        <f ca="1">+$C$15+$C$16*$F$16-15018.5-$C$5/24</f>
        <v>45668.056166876428</v>
      </c>
      <c r="Q17" s="12"/>
    </row>
    <row r="18" spans="1:21" s="9" customFormat="1" ht="12.95" customHeight="1" thickTop="1" thickBot="1" x14ac:dyDescent="0.25">
      <c r="A18" s="13" t="s">
        <v>25</v>
      </c>
      <c r="C18" s="26">
        <f ca="1">+C15</f>
        <v>60119.476537928887</v>
      </c>
      <c r="D18" s="41">
        <f ca="1">+C16</f>
        <v>0.39851181126174623</v>
      </c>
      <c r="E18" s="43" t="s">
        <v>57</v>
      </c>
      <c r="F18" s="49">
        <f ca="1">+($C$15+$C$16*$F$16)-($C$16/2)-15018.5-$C$5/24</f>
        <v>45667.856910970797</v>
      </c>
      <c r="Q18" s="12"/>
    </row>
    <row r="19" spans="1:21" s="9" customFormat="1" ht="12.95" customHeight="1" thickTop="1" x14ac:dyDescent="0.2">
      <c r="E19" s="20"/>
      <c r="F19" s="27"/>
      <c r="Q19" s="12"/>
    </row>
    <row r="20" spans="1:21" s="9" customFormat="1" ht="12.95" customHeight="1" thickBot="1" x14ac:dyDescent="0.25">
      <c r="A20" s="24" t="s">
        <v>27</v>
      </c>
      <c r="B20" s="24" t="s">
        <v>28</v>
      </c>
      <c r="C20" s="24" t="s">
        <v>29</v>
      </c>
      <c r="D20" s="24" t="s">
        <v>30</v>
      </c>
      <c r="E20" s="24" t="s">
        <v>31</v>
      </c>
      <c r="F20" s="24" t="s">
        <v>32</v>
      </c>
      <c r="G20" s="24" t="s">
        <v>33</v>
      </c>
      <c r="H20" s="28" t="s">
        <v>47</v>
      </c>
      <c r="I20" s="28" t="s">
        <v>48</v>
      </c>
      <c r="J20" s="28" t="s">
        <v>49</v>
      </c>
      <c r="K20" s="28" t="s">
        <v>50</v>
      </c>
      <c r="L20" s="28" t="s">
        <v>34</v>
      </c>
      <c r="M20" s="28" t="s">
        <v>35</v>
      </c>
      <c r="N20" s="28" t="s">
        <v>36</v>
      </c>
      <c r="O20" s="28" t="s">
        <v>37</v>
      </c>
      <c r="P20" s="28" t="s">
        <v>38</v>
      </c>
      <c r="Q20" s="29" t="s">
        <v>39</v>
      </c>
      <c r="U20" s="30" t="s">
        <v>51</v>
      </c>
    </row>
    <row r="21" spans="1:21" s="9" customFormat="1" ht="12.95" customHeight="1" x14ac:dyDescent="0.2">
      <c r="A21" s="9" t="s">
        <v>59</v>
      </c>
      <c r="C21" s="18">
        <v>51901.17</v>
      </c>
      <c r="D21" s="18" t="s">
        <v>17</v>
      </c>
      <c r="E21" s="9">
        <f>+(C21-C$7)/C$8</f>
        <v>-4934.491143280864</v>
      </c>
      <c r="F21" s="9">
        <f>ROUND(2*E21,0)/2</f>
        <v>-4934.5</v>
      </c>
      <c r="G21" s="9">
        <f>+C21-(C$7+F21*C$8)</f>
        <v>3.5294999979669228E-3</v>
      </c>
      <c r="I21" s="9">
        <f>+G21</f>
        <v>3.5294999979669228E-3</v>
      </c>
      <c r="O21" s="9">
        <f ca="1">+C$11+C$12*$F21</f>
        <v>2.3968352986083845E-4</v>
      </c>
      <c r="Q21" s="12">
        <f>+C21-15018.5</f>
        <v>36882.67</v>
      </c>
    </row>
    <row r="22" spans="1:21" s="9" customFormat="1" ht="12.95" customHeight="1" x14ac:dyDescent="0.2">
      <c r="A22" s="9" t="s">
        <v>60</v>
      </c>
      <c r="C22" s="18">
        <v>53867.618999999999</v>
      </c>
      <c r="D22" s="18"/>
      <c r="E22" s="9">
        <f>+(C22-C$7)/C$8</f>
        <v>0</v>
      </c>
      <c r="F22" s="9">
        <f>ROUND(2*E22,0)/2</f>
        <v>0</v>
      </c>
      <c r="G22" s="9">
        <f>+C22-(C$7+F22*C$8)</f>
        <v>0</v>
      </c>
      <c r="K22" s="9">
        <f>+G22</f>
        <v>0</v>
      </c>
      <c r="O22" s="9">
        <f ca="1">+C$11+C$12*$F22</f>
        <v>4.2428546166834525E-3</v>
      </c>
      <c r="Q22" s="12">
        <f>+C22-15018.5</f>
        <v>38849.118999999999</v>
      </c>
    </row>
    <row r="23" spans="1:21" s="9" customFormat="1" ht="12.95" customHeight="1" x14ac:dyDescent="0.2">
      <c r="A23" s="4" t="s">
        <v>40</v>
      </c>
      <c r="B23" s="5" t="s">
        <v>41</v>
      </c>
      <c r="C23" s="4">
        <v>55622.877999999997</v>
      </c>
      <c r="D23" s="4">
        <v>8.0000000000000004E-4</v>
      </c>
      <c r="E23" s="9">
        <f>+(C23-C$7)/C$8</f>
        <v>4404.5434128543457</v>
      </c>
      <c r="F23" s="9">
        <f>ROUND(2*E23,0)/2</f>
        <v>4404.5</v>
      </c>
      <c r="G23" s="9">
        <f>+C23-(C$7+F23*C$8)</f>
        <v>1.7300499996053986E-2</v>
      </c>
      <c r="K23" s="9">
        <f>+G23</f>
        <v>1.7300499996053986E-2</v>
      </c>
      <c r="O23" s="9">
        <f ca="1">+C$11+C$12*$F23</f>
        <v>7.8160569779987237E-3</v>
      </c>
      <c r="Q23" s="12">
        <f>+C23-15018.5</f>
        <v>40604.377999999997</v>
      </c>
    </row>
    <row r="24" spans="1:21" s="9" customFormat="1" ht="12.95" customHeight="1" x14ac:dyDescent="0.2">
      <c r="A24" s="4" t="s">
        <v>42</v>
      </c>
      <c r="B24" s="5" t="s">
        <v>41</v>
      </c>
      <c r="C24" s="4">
        <v>55989.8963</v>
      </c>
      <c r="D24" s="4">
        <v>4.0000000000000002E-4</v>
      </c>
      <c r="E24" s="9">
        <f>+(C24-C$7)/C$8</f>
        <v>5325.5174888522561</v>
      </c>
      <c r="F24" s="9">
        <f>ROUND(2*E24,0)/2</f>
        <v>5325.5</v>
      </c>
      <c r="G24" s="9">
        <f>+C24-(C$7+F24*C$8)</f>
        <v>6.9694999983767048E-3</v>
      </c>
      <c r="K24" s="9">
        <f>+G24</f>
        <v>6.9694999983767048E-3</v>
      </c>
      <c r="O24" s="9">
        <f ca="1">+C$11+C$12*$F24</f>
        <v>8.5632290462860118E-3</v>
      </c>
      <c r="Q24" s="12">
        <f>+C24-15018.5</f>
        <v>40971.3963</v>
      </c>
    </row>
    <row r="25" spans="1:21" s="9" customFormat="1" ht="12.95" customHeight="1" x14ac:dyDescent="0.2">
      <c r="A25" s="4" t="s">
        <v>42</v>
      </c>
      <c r="B25" s="5" t="s">
        <v>43</v>
      </c>
      <c r="C25" s="4">
        <v>56054.6558</v>
      </c>
      <c r="D25" s="4">
        <v>1.8E-3</v>
      </c>
      <c r="E25" s="9">
        <f>+(C25-C$7)/C$8</f>
        <v>5488.0211587635013</v>
      </c>
      <c r="F25" s="9">
        <f>ROUND(2*E25,0)/2</f>
        <v>5488</v>
      </c>
      <c r="G25" s="9">
        <f>+C25-(C$7+F25*C$8)</f>
        <v>8.4320000023581088E-3</v>
      </c>
      <c r="K25" s="9">
        <f>+G25</f>
        <v>8.4320000023581088E-3</v>
      </c>
      <c r="O25" s="9">
        <f ca="1">+C$11+C$12*$F25</f>
        <v>8.6950590800500566E-3</v>
      </c>
      <c r="Q25" s="12">
        <f>+C25-15018.5</f>
        <v>41036.1558</v>
      </c>
    </row>
    <row r="26" spans="1:21" s="9" customFormat="1" ht="12.95" customHeight="1" x14ac:dyDescent="0.2">
      <c r="A26" s="31" t="s">
        <v>44</v>
      </c>
      <c r="B26" s="32" t="s">
        <v>43</v>
      </c>
      <c r="C26" s="33">
        <v>58893.247000000003</v>
      </c>
      <c r="D26" s="33" t="s">
        <v>45</v>
      </c>
      <c r="E26" s="9">
        <f>+(C26-C$7)/C$8</f>
        <v>12611.014501481777</v>
      </c>
      <c r="F26" s="9">
        <f>ROUND(2*E26,0)/2</f>
        <v>12611</v>
      </c>
      <c r="G26" s="9">
        <f>+C26-(C$7+F26*C$8)</f>
        <v>5.7790000064414926E-3</v>
      </c>
      <c r="K26" s="9">
        <f>+G26</f>
        <v>5.7790000064414926E-3</v>
      </c>
      <c r="O26" s="9">
        <f ca="1">+C$11+C$12*$F26</f>
        <v>1.4473676498519501E-2</v>
      </c>
      <c r="Q26" s="12">
        <f>+C26-15018.5</f>
        <v>43874.747000000003</v>
      </c>
    </row>
    <row r="27" spans="1:21" s="9" customFormat="1" ht="12.95" customHeight="1" x14ac:dyDescent="0.2">
      <c r="A27" s="7" t="s">
        <v>52</v>
      </c>
      <c r="B27" s="8" t="s">
        <v>43</v>
      </c>
      <c r="C27" s="36">
        <v>59363.5</v>
      </c>
      <c r="D27" s="37">
        <v>3.0000000000000001E-3</v>
      </c>
      <c r="E27" s="9">
        <f>+(C27-C$7)/C$8</f>
        <v>13791.039645078808</v>
      </c>
      <c r="F27" s="9">
        <f>ROUND(2*E27,0)/2</f>
        <v>13791</v>
      </c>
      <c r="G27" s="9">
        <f>+C27-(C$7+F27*C$8)</f>
        <v>1.5799000000697561E-2</v>
      </c>
      <c r="K27" s="9">
        <f>+G27</f>
        <v>1.5799000000697561E-2</v>
      </c>
      <c r="O27" s="9">
        <f ca="1">+C$11+C$12*$F27</f>
        <v>1.5430965359083022E-2</v>
      </c>
      <c r="Q27" s="12">
        <f>+C27-15018.5</f>
        <v>44345</v>
      </c>
    </row>
    <row r="28" spans="1:21" s="9" customFormat="1" ht="12.95" customHeight="1" x14ac:dyDescent="0.2">
      <c r="A28" s="7" t="s">
        <v>53</v>
      </c>
      <c r="B28" s="8" t="s">
        <v>41</v>
      </c>
      <c r="C28" s="36">
        <v>59692.470999999998</v>
      </c>
      <c r="D28" s="37">
        <v>3.0000000000000001E-3</v>
      </c>
      <c r="E28" s="9">
        <f>+(C28-C$7)/C$8</f>
        <v>14616.540070412106</v>
      </c>
      <c r="F28" s="9">
        <f>ROUND(2*E28,0)/2</f>
        <v>14616.5</v>
      </c>
      <c r="G28" s="9">
        <f>+C28-(C$7+F28*C$8)</f>
        <v>1.5968499996233732E-2</v>
      </c>
      <c r="K28" s="9">
        <f>+G28</f>
        <v>1.5968499996233732E-2</v>
      </c>
      <c r="O28" s="9">
        <f ca="1">+C$11+C$12*$F28</f>
        <v>1.6100661930604367E-2</v>
      </c>
      <c r="Q28" s="12">
        <f>+C28-15018.5</f>
        <v>44673.970999999998</v>
      </c>
    </row>
    <row r="29" spans="1:21" s="9" customFormat="1" ht="12.95" customHeight="1" x14ac:dyDescent="0.2">
      <c r="A29" s="7" t="s">
        <v>53</v>
      </c>
      <c r="B29" s="8" t="s">
        <v>41</v>
      </c>
      <c r="C29" s="36">
        <v>59692.675000000003</v>
      </c>
      <c r="D29" s="37">
        <v>5.0000000000000001E-3</v>
      </c>
      <c r="E29" s="9">
        <f>+(C29-C$7)/C$8</f>
        <v>14617.051975980597</v>
      </c>
      <c r="F29" s="9">
        <f>ROUND(2*E29,0)/2</f>
        <v>14617</v>
      </c>
      <c r="G29" s="9">
        <f>+C29-(C$7+F29*C$8)</f>
        <v>2.0713000005343929E-2</v>
      </c>
      <c r="K29" s="9">
        <f>+G29</f>
        <v>2.0713000005343929E-2</v>
      </c>
      <c r="O29" s="9">
        <f ca="1">+C$11+C$12*$F29</f>
        <v>1.6101067561477486E-2</v>
      </c>
      <c r="Q29" s="12">
        <f>+C29-15018.5</f>
        <v>44674.175000000003</v>
      </c>
    </row>
    <row r="30" spans="1:21" s="9" customFormat="1" ht="12.95" customHeight="1" x14ac:dyDescent="0.2">
      <c r="A30" s="38" t="s">
        <v>54</v>
      </c>
      <c r="B30" s="39" t="s">
        <v>43</v>
      </c>
      <c r="C30" s="40">
        <v>60119.476999999955</v>
      </c>
      <c r="D30" s="38">
        <v>4.0000000000000001E-3</v>
      </c>
      <c r="E30" s="9">
        <f>+(C30-C$7)/C$8</f>
        <v>15688.043742832586</v>
      </c>
      <c r="F30" s="9">
        <f>ROUND(2*E30,0)/2</f>
        <v>15688</v>
      </c>
      <c r="G30" s="9">
        <f>+C30-(C$7+F30*C$8)</f>
        <v>1.7431999956897926E-2</v>
      </c>
      <c r="K30" s="9">
        <f>+G30</f>
        <v>1.7431999956897926E-2</v>
      </c>
      <c r="O30" s="9">
        <f ca="1">+C$11+C$12*$F30</f>
        <v>1.6969928891700816E-2</v>
      </c>
      <c r="Q30" s="12">
        <f>+C30-15018.5</f>
        <v>45100.976999999955</v>
      </c>
    </row>
    <row r="31" spans="1:21" x14ac:dyDescent="0.2">
      <c r="C31" s="3"/>
      <c r="D31" s="3"/>
    </row>
    <row r="32" spans="1:21" x14ac:dyDescent="0.2">
      <c r="C32" s="3"/>
      <c r="D32" s="3"/>
    </row>
    <row r="33" spans="3:4" x14ac:dyDescent="0.2">
      <c r="C33" s="3"/>
      <c r="D33" s="3"/>
    </row>
    <row r="34" spans="3:4" x14ac:dyDescent="0.2">
      <c r="C34" s="3"/>
      <c r="D34" s="3"/>
    </row>
    <row r="35" spans="3:4" x14ac:dyDescent="0.2">
      <c r="C35" s="3"/>
      <c r="D35" s="3"/>
    </row>
    <row r="36" spans="3:4" x14ac:dyDescent="0.2">
      <c r="C36" s="3"/>
      <c r="D36" s="3"/>
    </row>
  </sheetData>
  <sheetProtection selectLockedCells="1" selectUnlockedCells="1"/>
  <sortState xmlns:xlrd2="http://schemas.microsoft.com/office/spreadsheetml/2017/richdata2" ref="A21:V33">
    <sortCondition ref="C21:C33"/>
  </sortState>
  <phoneticPr fontId="1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2023-01-26T00:11:28Z</dcterms:created>
  <dcterms:modified xsi:type="dcterms:W3CDTF">2025-01-10T07:38:35Z</dcterms:modified>
</cp:coreProperties>
</file>