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71C790E-9688-4C46-8D4B-E25C80F190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J28" i="1" s="1"/>
  <c r="Q28" i="1"/>
  <c r="E22" i="1"/>
  <c r="F22" i="1" s="1"/>
  <c r="G22" i="1" s="1"/>
  <c r="H22" i="1" s="1"/>
  <c r="Q22" i="1"/>
  <c r="F14" i="1"/>
  <c r="E27" i="1"/>
  <c r="F27" i="1" s="1"/>
  <c r="G27" i="1" s="1"/>
  <c r="J27" i="1" s="1"/>
  <c r="Q27" i="1"/>
  <c r="E23" i="1"/>
  <c r="F23" i="1" s="1"/>
  <c r="G23" i="1" s="1"/>
  <c r="J23" i="1" s="1"/>
  <c r="E24" i="1"/>
  <c r="F24" i="1" s="1"/>
  <c r="G24" i="1" s="1"/>
  <c r="J24" i="1" s="1"/>
  <c r="E25" i="1"/>
  <c r="F25" i="1" s="1"/>
  <c r="G25" i="1" s="1"/>
  <c r="J25" i="1" s="1"/>
  <c r="E26" i="1"/>
  <c r="F26" i="1" s="1"/>
  <c r="G26" i="1" s="1"/>
  <c r="J26" i="1" s="1"/>
  <c r="G11" i="1"/>
  <c r="F11" i="1"/>
  <c r="Q23" i="1"/>
  <c r="Q24" i="1"/>
  <c r="Q25" i="1"/>
  <c r="Q26" i="1"/>
  <c r="E21" i="1"/>
  <c r="F21" i="1" s="1"/>
  <c r="G21" i="1" s="1"/>
  <c r="H21" i="1" s="1"/>
  <c r="C17" i="1"/>
  <c r="Q21" i="1"/>
  <c r="C12" i="1"/>
  <c r="F15" i="1" l="1"/>
  <c r="C16" i="1"/>
  <c r="D18" i="1" s="1"/>
  <c r="C11" i="1"/>
  <c r="O22" i="1" l="1"/>
  <c r="S22" i="1" s="1"/>
  <c r="O28" i="1"/>
  <c r="S28" i="1" s="1"/>
  <c r="O27" i="1"/>
  <c r="S27" i="1" s="1"/>
  <c r="O26" i="1"/>
  <c r="S26" i="1" s="1"/>
  <c r="C15" i="1"/>
  <c r="O21" i="1"/>
  <c r="S21" i="1" s="1"/>
  <c r="O24" i="1"/>
  <c r="S24" i="1" s="1"/>
  <c r="O23" i="1"/>
  <c r="S23" i="1" s="1"/>
  <c r="O25" i="1"/>
  <c r="S25" i="1" s="1"/>
  <c r="F16" i="1" l="1"/>
  <c r="F17" i="1" s="1"/>
  <c r="S19" i="1"/>
  <c r="C18" i="1"/>
  <c r="F18" i="1" l="1"/>
</calcChain>
</file>

<file path=xl/sharedStrings.xml><?xml version="1.0" encoding="utf-8"?>
<sst xmlns="http://schemas.openxmlformats.org/spreadsheetml/2006/main" count="70" uniqueCount="59">
  <si>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</si>
  <si>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</si>
  <si>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</si>
  <si>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</si>
  <si>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</si>
  <si>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</si>
  <si>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</si>
  <si>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</si>
  <si>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</si>
  <si>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</si>
  <si>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</si>
  <si>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</si>
  <si>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</si>
  <si>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</si>
  <si>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</si>
  <si>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</si>
  <si>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</si>
  <si>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</si>
  <si>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</si>
  <si>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</si>
  <si>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</si>
  <si>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</si>
  <si>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</si>
  <si>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</si>
  <si>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</si>
  <si>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</si>
  <si>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</si>
  <si>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</si>
  <si>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</si>
  <si>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</si>
  <si>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</si>
  <si>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</si>
  <si>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</si>
  <si>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</si>
  <si>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</si>
  <si>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</si>
  <si>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</si>
  <si>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</si>
  <si>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</si>
  <si>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</si>
  <si>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G0317-0161</t>
  </si>
  <si>
    <t>IBVS 5992</t>
  </si>
  <si>
    <t>I</t>
  </si>
  <si>
    <t>IBVS 6029</t>
  </si>
  <si>
    <t>II</t>
  </si>
  <si>
    <t>G0317-0161_Vir.xls</t>
  </si>
  <si>
    <t>Vir</t>
  </si>
  <si>
    <t>VSX</t>
  </si>
  <si>
    <t>OEJV 234</t>
  </si>
  <si>
    <t>V0722 Vir / GSC 0317-0161</t>
  </si>
  <si>
    <t>CCD</t>
  </si>
  <si>
    <t>JBAV 96</t>
  </si>
  <si>
    <t xml:space="preserve">Mag </t>
  </si>
  <si>
    <t>Next ToM-P</t>
  </si>
  <si>
    <t>Next ToM-S</t>
  </si>
  <si>
    <t>11.00-11.68</t>
  </si>
  <si>
    <t>VSX 1</t>
  </si>
  <si>
    <t>VSX 2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</si>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</sst>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52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/>
    <xf numFmtId="0" fontId="0" fillId="0" borderId="0" xfId="0" applyAlignment="1">
      <alignment horizontal="right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V0722 Vir / GSC 0317-0161 -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-2183</c:v>
                </c:pt>
                <c:pt idx="1">
                  <c:v>0</c:v>
                </c:pt>
                <c:pt idx="2">
                  <c:v>2144</c:v>
                </c:pt>
                <c:pt idx="3">
                  <c:v>2557</c:v>
                </c:pt>
                <c:pt idx="4">
                  <c:v>2558.5</c:v>
                </c:pt>
                <c:pt idx="5">
                  <c:v>2640</c:v>
                </c:pt>
                <c:pt idx="6">
                  <c:v>6833.5</c:v>
                </c:pt>
                <c:pt idx="7">
                  <c:v>7679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7.2410000000672881E-2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18-46A0-B206-EDEF05843B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-2183</c:v>
                </c:pt>
                <c:pt idx="1">
                  <c:v>0</c:v>
                </c:pt>
                <c:pt idx="2">
                  <c:v>2144</c:v>
                </c:pt>
                <c:pt idx="3">
                  <c:v>2557</c:v>
                </c:pt>
                <c:pt idx="4">
                  <c:v>2558.5</c:v>
                </c:pt>
                <c:pt idx="5">
                  <c:v>2640</c:v>
                </c:pt>
                <c:pt idx="6">
                  <c:v>6833.5</c:v>
                </c:pt>
                <c:pt idx="7">
                  <c:v>7679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18-46A0-B206-EDEF05843B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-2183</c:v>
                </c:pt>
                <c:pt idx="1">
                  <c:v>0</c:v>
                </c:pt>
                <c:pt idx="2">
                  <c:v>2144</c:v>
                </c:pt>
                <c:pt idx="3">
                  <c:v>2557</c:v>
                </c:pt>
                <c:pt idx="4">
                  <c:v>2558.5</c:v>
                </c:pt>
                <c:pt idx="5">
                  <c:v>2640</c:v>
                </c:pt>
                <c:pt idx="6">
                  <c:v>6833.5</c:v>
                </c:pt>
                <c:pt idx="7">
                  <c:v>7679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9.3719999997119885E-2</c:v>
                </c:pt>
                <c:pt idx="3">
                  <c:v>0.15830999999889173</c:v>
                </c:pt>
                <c:pt idx="4">
                  <c:v>-0.20479499999783002</c:v>
                </c:pt>
                <c:pt idx="5">
                  <c:v>0.19999999999708962</c:v>
                </c:pt>
                <c:pt idx="6">
                  <c:v>-9.3045000001438893E-2</c:v>
                </c:pt>
                <c:pt idx="7">
                  <c:v>7.7669999918725807E-2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18-46A0-B206-EDEF05843B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-2183</c:v>
                </c:pt>
                <c:pt idx="1">
                  <c:v>0</c:v>
                </c:pt>
                <c:pt idx="2">
                  <c:v>2144</c:v>
                </c:pt>
                <c:pt idx="3">
                  <c:v>2557</c:v>
                </c:pt>
                <c:pt idx="4">
                  <c:v>2558.5</c:v>
                </c:pt>
                <c:pt idx="5">
                  <c:v>2640</c:v>
                </c:pt>
                <c:pt idx="6">
                  <c:v>6833.5</c:v>
                </c:pt>
                <c:pt idx="7">
                  <c:v>7679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18-46A0-B206-EDEF05843B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-2183</c:v>
                </c:pt>
                <c:pt idx="1">
                  <c:v>0</c:v>
                </c:pt>
                <c:pt idx="2">
                  <c:v>2144</c:v>
                </c:pt>
                <c:pt idx="3">
                  <c:v>2557</c:v>
                </c:pt>
                <c:pt idx="4">
                  <c:v>2558.5</c:v>
                </c:pt>
                <c:pt idx="5">
                  <c:v>2640</c:v>
                </c:pt>
                <c:pt idx="6">
                  <c:v>6833.5</c:v>
                </c:pt>
                <c:pt idx="7">
                  <c:v>7679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18-46A0-B206-EDEF05843B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-2183</c:v>
                </c:pt>
                <c:pt idx="1">
                  <c:v>0</c:v>
                </c:pt>
                <c:pt idx="2">
                  <c:v>2144</c:v>
                </c:pt>
                <c:pt idx="3">
                  <c:v>2557</c:v>
                </c:pt>
                <c:pt idx="4">
                  <c:v>2558.5</c:v>
                </c:pt>
                <c:pt idx="5">
                  <c:v>2640</c:v>
                </c:pt>
                <c:pt idx="6">
                  <c:v>6833.5</c:v>
                </c:pt>
                <c:pt idx="7">
                  <c:v>7679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18-46A0-B206-EDEF05843B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-2183</c:v>
                </c:pt>
                <c:pt idx="1">
                  <c:v>0</c:v>
                </c:pt>
                <c:pt idx="2">
                  <c:v>2144</c:v>
                </c:pt>
                <c:pt idx="3">
                  <c:v>2557</c:v>
                </c:pt>
                <c:pt idx="4">
                  <c:v>2558.5</c:v>
                </c:pt>
                <c:pt idx="5">
                  <c:v>2640</c:v>
                </c:pt>
                <c:pt idx="6">
                  <c:v>6833.5</c:v>
                </c:pt>
                <c:pt idx="7">
                  <c:v>7679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18-46A0-B206-EDEF05843B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-2183</c:v>
                </c:pt>
                <c:pt idx="1">
                  <c:v>0</c:v>
                </c:pt>
                <c:pt idx="2">
                  <c:v>2144</c:v>
                </c:pt>
                <c:pt idx="3">
                  <c:v>2557</c:v>
                </c:pt>
                <c:pt idx="4">
                  <c:v>2558.5</c:v>
                </c:pt>
                <c:pt idx="5">
                  <c:v>2640</c:v>
                </c:pt>
                <c:pt idx="6">
                  <c:v>6833.5</c:v>
                </c:pt>
                <c:pt idx="7">
                  <c:v>7679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6.3022297902197932E-2</c:v>
                </c:pt>
                <c:pt idx="1">
                  <c:v>5.1511619585256095E-2</c:v>
                </c:pt>
                <c:pt idx="2">
                  <c:v>4.0206583253820781E-2</c:v>
                </c:pt>
                <c:pt idx="3">
                  <c:v>3.8028887356020974E-2</c:v>
                </c:pt>
                <c:pt idx="4">
                  <c:v>3.8020978048886114E-2</c:v>
                </c:pt>
                <c:pt idx="5">
                  <c:v>3.7591239027891715E-2</c:v>
                </c:pt>
                <c:pt idx="6">
                  <c:v>1.5479452714517658E-2</c:v>
                </c:pt>
                <c:pt idx="7">
                  <c:v>1.1021239926164793E-2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18-46A0-B206-EDEF05843B9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-2183</c:v>
                </c:pt>
                <c:pt idx="1">
                  <c:v>0</c:v>
                </c:pt>
                <c:pt idx="2">
                  <c:v>2144</c:v>
                </c:pt>
                <c:pt idx="3">
                  <c:v>2557</c:v>
                </c:pt>
                <c:pt idx="4">
                  <c:v>2558.5</c:v>
                </c:pt>
                <c:pt idx="5">
                  <c:v>2640</c:v>
                </c:pt>
                <c:pt idx="6">
                  <c:v>6833.5</c:v>
                </c:pt>
                <c:pt idx="7">
                  <c:v>7679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18-46A0-B206-EDEF05843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676192"/>
        <c:axId val="1"/>
      </c:scatterChart>
      <c:valAx>
        <c:axId val="70767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676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9525</xdr:rowOff>
    </xdr:from>
    <xdr:to>
      <xdr:col>17</xdr:col>
      <xdr:colOff>228600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AB20AE-DC41-94DB-7573-04A48BF33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855468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49</v>
      </c>
      <c r="E1" t="s">
        <v>45</v>
      </c>
    </row>
    <row r="2" spans="1:7" s="6" customFormat="1" ht="12.95" customHeight="1" x14ac:dyDescent="0.2">
      <c r="A2" s="6" t="s">
        <v>23</v>
      </c>
      <c r="B2" s="38" t="s">
        <v>58</v>
      </c>
      <c r="C2" s="7" t="s">
        <v>39</v>
      </c>
      <c r="D2" s="8" t="s">
        <v>46</v>
      </c>
      <c r="E2" s="2" t="s">
        <v>40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38</v>
      </c>
      <c r="D4" s="11" t="s">
        <v>38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  <c r="E6" s="49" t="s">
        <v>56</v>
      </c>
    </row>
    <row r="7" spans="1:7" s="6" customFormat="1" ht="12.95" customHeight="1" x14ac:dyDescent="0.2">
      <c r="A7" s="6" t="s">
        <v>2</v>
      </c>
      <c r="C7" s="34">
        <v>53803.809000000001</v>
      </c>
      <c r="D7" s="13" t="s">
        <v>57</v>
      </c>
      <c r="E7" s="50">
        <v>51917.18</v>
      </c>
    </row>
    <row r="8" spans="1:7" s="6" customFormat="1" ht="12.95" customHeight="1" x14ac:dyDescent="0.2">
      <c r="A8" s="6" t="s">
        <v>3</v>
      </c>
      <c r="C8" s="34">
        <v>0.86426999999999998</v>
      </c>
      <c r="D8" s="13" t="s">
        <v>57</v>
      </c>
      <c r="E8" s="51">
        <v>1.8642700000000001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19</v>
      </c>
      <c r="D10" s="16" t="s">
        <v>20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5.1511619585256095E-2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-5.272871423244082E-6</v>
      </c>
      <c r="D12" s="8"/>
      <c r="E12" s="43" t="s">
        <v>52</v>
      </c>
      <c r="F12" s="44" t="s">
        <v>55</v>
      </c>
    </row>
    <row r="13" spans="1:7" s="6" customFormat="1" ht="12.95" customHeight="1" x14ac:dyDescent="0.2">
      <c r="A13" s="6" t="s">
        <v>18</v>
      </c>
      <c r="C13" s="8" t="s">
        <v>13</v>
      </c>
      <c r="D13" s="19"/>
      <c r="E13" s="40" t="s">
        <v>35</v>
      </c>
      <c r="F13" s="45">
        <v>1</v>
      </c>
    </row>
    <row r="14" spans="1:7" s="6" customFormat="1" ht="12.95" customHeight="1" x14ac:dyDescent="0.2">
      <c r="D14" s="19"/>
      <c r="E14" s="40" t="s">
        <v>32</v>
      </c>
      <c r="F14" s="46">
        <f ca="1">NOW()+15018.5+$C$9/24</f>
        <v>60685.864102430554</v>
      </c>
    </row>
    <row r="15" spans="1:7" s="6" customFormat="1" ht="12.95" customHeight="1" x14ac:dyDescent="0.2">
      <c r="A15" s="20" t="s">
        <v>17</v>
      </c>
      <c r="C15" s="21">
        <f ca="1">(C7+C11)+(C8+C12)*INT(MAX(F21:F3533))</f>
        <v>60440.549351239926</v>
      </c>
      <c r="D15" s="19"/>
      <c r="E15" s="40" t="s">
        <v>36</v>
      </c>
      <c r="F15" s="46">
        <f ca="1">ROUND(2*($F$14-$C$7)/$C$8,0)/2+$F$13</f>
        <v>7964</v>
      </c>
    </row>
    <row r="16" spans="1:7" s="6" customFormat="1" ht="12.95" customHeight="1" x14ac:dyDescent="0.2">
      <c r="A16" s="9" t="s">
        <v>4</v>
      </c>
      <c r="C16" s="22">
        <f ca="1">+C8+C12</f>
        <v>0.86426472712857672</v>
      </c>
      <c r="D16" s="19"/>
      <c r="E16" s="40" t="s">
        <v>37</v>
      </c>
      <c r="F16" s="46">
        <f ca="1">ROUND(2*($F$14-$C$15)/$C$16,0)/2+$F$13</f>
        <v>285</v>
      </c>
    </row>
    <row r="17" spans="1:19" s="6" customFormat="1" ht="12.95" customHeight="1" thickBot="1" x14ac:dyDescent="0.25">
      <c r="A17" s="19" t="s">
        <v>29</v>
      </c>
      <c r="C17" s="6">
        <f>COUNT(C21:C2191)</f>
        <v>8</v>
      </c>
      <c r="D17" s="19"/>
      <c r="E17" s="41" t="s">
        <v>53</v>
      </c>
      <c r="F17" s="47">
        <f ca="1">+$C$15+$C$16*$F$16-15018.5-$C$9/24</f>
        <v>45668.760631804907</v>
      </c>
    </row>
    <row r="18" spans="1:19" s="6" customFormat="1" ht="12.95" customHeight="1" thickTop="1" thickBot="1" x14ac:dyDescent="0.25">
      <c r="A18" s="9" t="s">
        <v>5</v>
      </c>
      <c r="C18" s="23">
        <f ca="1">+C15</f>
        <v>60440.549351239926</v>
      </c>
      <c r="D18" s="39">
        <f ca="1">+C16</f>
        <v>0.86426472712857672</v>
      </c>
      <c r="E18" s="42" t="s">
        <v>54</v>
      </c>
      <c r="F18" s="48">
        <f ca="1">+($C$15+$C$16*$F$16)-($C$16/2)-15018.5-$C$9/24</f>
        <v>45668.328499441341</v>
      </c>
    </row>
    <row r="19" spans="1:19" s="6" customFormat="1" ht="12.95" customHeight="1" thickTop="1" x14ac:dyDescent="0.2">
      <c r="A19" s="24" t="s">
        <v>33</v>
      </c>
      <c r="E19" s="25">
        <v>22</v>
      </c>
      <c r="S19" s="6">
        <f ca="1">SQRT(SUM(S21:S50)/(COUNT(S21:S50)-1))</f>
        <v>0.13181622846833396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6" t="s">
        <v>47</v>
      </c>
      <c r="I20" s="26" t="s">
        <v>28</v>
      </c>
      <c r="J20" s="26" t="s">
        <v>50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6" t="s">
        <v>14</v>
      </c>
      <c r="R20" s="28" t="s">
        <v>34</v>
      </c>
    </row>
    <row r="21" spans="1:19" s="6" customFormat="1" ht="12.95" customHeight="1" x14ac:dyDescent="0.2">
      <c r="A21" s="38" t="s">
        <v>56</v>
      </c>
      <c r="C21" s="12">
        <v>51917.18</v>
      </c>
      <c r="D21" s="12" t="s">
        <v>13</v>
      </c>
      <c r="E21" s="6">
        <f>+(C21-C$7)/C$8</f>
        <v>-2182.9162183114081</v>
      </c>
      <c r="F21" s="6">
        <f>ROUND(2*E21,0)/2</f>
        <v>-2183</v>
      </c>
      <c r="G21" s="6">
        <f>+C21-(C$7+F21*C$8)</f>
        <v>7.2410000000672881E-2</v>
      </c>
      <c r="H21" s="6">
        <f>+G21</f>
        <v>7.2410000000672881E-2</v>
      </c>
      <c r="O21" s="6">
        <f ca="1">+C$11+C$12*$F21</f>
        <v>6.3022297902197932E-2</v>
      </c>
      <c r="Q21" s="29">
        <f>+C21-15018.5</f>
        <v>36898.68</v>
      </c>
      <c r="S21" s="6">
        <f ca="1">+(O21-G21)^2</f>
        <v>8.8128950689710949E-5</v>
      </c>
    </row>
    <row r="22" spans="1:19" s="6" customFormat="1" ht="12.95" customHeight="1" x14ac:dyDescent="0.2">
      <c r="A22" s="38" t="s">
        <v>57</v>
      </c>
      <c r="C22" s="12">
        <v>53803.809000000001</v>
      </c>
      <c r="D22" s="12"/>
      <c r="E22" s="6">
        <f>+(C22-C$7)/C$8</f>
        <v>0</v>
      </c>
      <c r="F22" s="6">
        <f>ROUND(2*E22,0)/2</f>
        <v>0</v>
      </c>
      <c r="G22" s="6">
        <f>+C22-(C$7+F22*C$8)</f>
        <v>0</v>
      </c>
      <c r="H22" s="6">
        <f>+G22</f>
        <v>0</v>
      </c>
      <c r="O22" s="6">
        <f ca="1">+C$11+C$12*$F22</f>
        <v>5.1511619585256095E-2</v>
      </c>
      <c r="Q22" s="29">
        <f>+C22-15018.5</f>
        <v>38785.309000000001</v>
      </c>
      <c r="S22" s="6">
        <f ca="1">+(O22-G22)^2</f>
        <v>2.6534469522961394E-3</v>
      </c>
    </row>
    <row r="23" spans="1:19" s="6" customFormat="1" ht="12.95" customHeight="1" x14ac:dyDescent="0.2">
      <c r="A23" s="3" t="s">
        <v>41</v>
      </c>
      <c r="B23" s="4" t="s">
        <v>42</v>
      </c>
      <c r="C23" s="3">
        <v>55656.897599999997</v>
      </c>
      <c r="D23" s="3">
        <v>2.0000000000000001E-4</v>
      </c>
      <c r="E23" s="6">
        <f>+(C23-C$7)/C$8</f>
        <v>2144.1084383352372</v>
      </c>
      <c r="F23" s="6">
        <f>ROUND(2*E23,0)/2</f>
        <v>2144</v>
      </c>
      <c r="G23" s="6">
        <f>+C23-(C$7+F23*C$8)</f>
        <v>9.3719999997119885E-2</v>
      </c>
      <c r="J23" s="6">
        <f>+G23</f>
        <v>9.3719999997119885E-2</v>
      </c>
      <c r="O23" s="6">
        <f ca="1">+C$11+C$12*$F23</f>
        <v>4.0206583253820781E-2</v>
      </c>
      <c r="Q23" s="29">
        <f>+C23-15018.5</f>
        <v>40638.397599999997</v>
      </c>
      <c r="S23" s="6">
        <f ca="1">+(O23-G23)^2</f>
        <v>2.8636857715420047E-3</v>
      </c>
    </row>
    <row r="24" spans="1:19" s="6" customFormat="1" ht="12.95" customHeight="1" x14ac:dyDescent="0.2">
      <c r="A24" s="3" t="s">
        <v>43</v>
      </c>
      <c r="B24" s="4" t="s">
        <v>44</v>
      </c>
      <c r="C24" s="3">
        <v>56013.905700000003</v>
      </c>
      <c r="D24" s="3">
        <v>2.9999999999999997E-4</v>
      </c>
      <c r="E24" s="6">
        <f>+(C24-C$7)/C$8</f>
        <v>2557.1831719254424</v>
      </c>
      <c r="F24" s="6">
        <f>ROUND(2*E24,0)/2</f>
        <v>2557</v>
      </c>
      <c r="G24" s="6">
        <f>+C24-(C$7+F24*C$8)</f>
        <v>0.15830999999889173</v>
      </c>
      <c r="J24" s="6">
        <f>+G24</f>
        <v>0.15830999999889173</v>
      </c>
      <c r="O24" s="6">
        <f ca="1">+C$11+C$12*$F24</f>
        <v>3.8028887356020974E-2</v>
      </c>
      <c r="Q24" s="29">
        <f>+C24-15018.5</f>
        <v>40995.405700000003</v>
      </c>
      <c r="S24" s="6">
        <f ca="1">+(O24-G24)^2</f>
        <v>1.4467546058606963E-2</v>
      </c>
    </row>
    <row r="25" spans="1:19" s="6" customFormat="1" ht="12.95" customHeight="1" x14ac:dyDescent="0.2">
      <c r="A25" s="3" t="s">
        <v>43</v>
      </c>
      <c r="B25" s="4" t="s">
        <v>42</v>
      </c>
      <c r="C25" s="3">
        <v>56014.839</v>
      </c>
      <c r="D25" s="3">
        <v>1E-3</v>
      </c>
      <c r="E25" s="6">
        <f>+(C25-C$7)/C$8</f>
        <v>2558.2630427991239</v>
      </c>
      <c r="F25" s="6">
        <f>ROUND(2*E25,0)/2</f>
        <v>2558.5</v>
      </c>
      <c r="G25" s="6">
        <f>+C25-(C$7+F25*C$8)</f>
        <v>-0.20479499999783002</v>
      </c>
      <c r="J25" s="6">
        <f>+G25</f>
        <v>-0.20479499999783002</v>
      </c>
      <c r="O25" s="6">
        <f ca="1">+C$11+C$12*$F25</f>
        <v>3.8020978048886114E-2</v>
      </c>
      <c r="Q25" s="29">
        <f>+C25-15018.5</f>
        <v>40996.339</v>
      </c>
      <c r="S25" s="6">
        <f ca="1">+(O25-G25)^2</f>
        <v>5.8959599194783323E-2</v>
      </c>
    </row>
    <row r="26" spans="1:19" s="6" customFormat="1" ht="12.95" customHeight="1" x14ac:dyDescent="0.2">
      <c r="A26" s="3" t="s">
        <v>43</v>
      </c>
      <c r="B26" s="4" t="s">
        <v>42</v>
      </c>
      <c r="C26" s="3">
        <v>56085.681799999998</v>
      </c>
      <c r="D26" s="3">
        <v>8.9999999999999998E-4</v>
      </c>
      <c r="E26" s="6">
        <f>+(C26-C$7)/C$8</f>
        <v>2640.2314091661142</v>
      </c>
      <c r="F26" s="6">
        <f>ROUND(2*E26,0)/2</f>
        <v>2640</v>
      </c>
      <c r="G26" s="6">
        <f>+C26-(C$7+F26*C$8)</f>
        <v>0.19999999999708962</v>
      </c>
      <c r="J26" s="6">
        <f>+G26</f>
        <v>0.19999999999708962</v>
      </c>
      <c r="O26" s="6">
        <f ca="1">+C$11+C$12*$F26</f>
        <v>3.7591239027891715E-2</v>
      </c>
      <c r="Q26" s="29">
        <f>+C26-15018.5</f>
        <v>41067.181799999998</v>
      </c>
      <c r="S26" s="6">
        <f ca="1">+(O26-G26)^2</f>
        <v>2.637660563955006E-2</v>
      </c>
    </row>
    <row r="27" spans="1:19" s="6" customFormat="1" ht="12.95" customHeight="1" x14ac:dyDescent="0.2">
      <c r="A27" s="5" t="s">
        <v>48</v>
      </c>
      <c r="B27" s="30" t="s">
        <v>42</v>
      </c>
      <c r="C27" s="31">
        <v>59709.705000000002</v>
      </c>
      <c r="D27" s="32">
        <v>2.0000000000000001E-4</v>
      </c>
      <c r="E27" s="6">
        <f>+(C27-C$7)/C$8</f>
        <v>6833.3923426706942</v>
      </c>
      <c r="F27" s="6">
        <f>ROUND(2*E27,0)/2</f>
        <v>6833.5</v>
      </c>
      <c r="G27" s="6">
        <f>+C27-(C$7+F27*C$8)</f>
        <v>-9.3045000001438893E-2</v>
      </c>
      <c r="J27" s="6">
        <f>+G27</f>
        <v>-9.3045000001438893E-2</v>
      </c>
      <c r="O27" s="6">
        <f ca="1">+C$11+C$12*$F27</f>
        <v>1.5479452714517658E-2</v>
      </c>
      <c r="Q27" s="29">
        <f>+C27-15018.5</f>
        <v>44691.205000000002</v>
      </c>
      <c r="S27" s="6">
        <f ca="1">+(O27-G27)^2</f>
        <v>1.1777556837297889E-2</v>
      </c>
    </row>
    <row r="28" spans="1:19" s="6" customFormat="1" ht="12.95" customHeight="1" x14ac:dyDescent="0.2">
      <c r="A28" s="35" t="s">
        <v>51</v>
      </c>
      <c r="B28" s="36" t="s">
        <v>42</v>
      </c>
      <c r="C28" s="37">
        <v>60440.615999999922</v>
      </c>
      <c r="D28" s="35">
        <v>2.0000000000000001E-4</v>
      </c>
      <c r="E28" s="6">
        <f>+(C28-C$7)/C$8</f>
        <v>7679.0898677495697</v>
      </c>
      <c r="F28" s="6">
        <f>ROUND(2*E28,0)/2</f>
        <v>7679</v>
      </c>
      <c r="G28" s="6">
        <f>+C28-(C$7+F28*C$8)</f>
        <v>7.7669999918725807E-2</v>
      </c>
      <c r="J28" s="6">
        <f>+G28</f>
        <v>7.7669999918725807E-2</v>
      </c>
      <c r="O28" s="6">
        <f ca="1">+C$11+C$12*$F28</f>
        <v>1.1021239926164793E-2</v>
      </c>
      <c r="Q28" s="29">
        <f>+C28-15018.5</f>
        <v>45422.115999999922</v>
      </c>
      <c r="S28" s="6">
        <f ca="1">+(O28-G28)^2</f>
        <v>4.4420572085460009E-3</v>
      </c>
    </row>
    <row r="29" spans="1:19" s="6" customFormat="1" ht="12.95" customHeight="1" x14ac:dyDescent="0.2">
      <c r="C29" s="12"/>
      <c r="D29" s="12"/>
      <c r="Q29" s="29"/>
    </row>
    <row r="30" spans="1:19" s="6" customFormat="1" ht="12.95" customHeight="1" x14ac:dyDescent="0.2">
      <c r="C30" s="12"/>
      <c r="D30" s="12"/>
      <c r="Q30" s="29"/>
    </row>
    <row r="31" spans="1:19" s="6" customFormat="1" ht="12.95" customHeight="1" x14ac:dyDescent="0.2">
      <c r="C31" s="12"/>
      <c r="D31" s="12"/>
      <c r="Q31" s="29"/>
    </row>
    <row r="32" spans="1:19" s="6" customFormat="1" ht="12.95" customHeight="1" x14ac:dyDescent="0.2">
      <c r="C32" s="12"/>
      <c r="D32" s="12"/>
      <c r="Q32" s="29"/>
    </row>
    <row r="33" spans="3:17" s="6" customFormat="1" ht="12.95" customHeight="1" x14ac:dyDescent="0.2">
      <c r="C33" s="12"/>
      <c r="D33" s="12"/>
      <c r="Q33" s="29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U32">
    <sortCondition ref="C21:C32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2025-01-10T07:44:18Z</dcterms:modified>
</cp:coreProperties>
</file>