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4A8C41A1-3FC6-4D7F-B232-3689AADAB5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D9" i="1"/>
  <c r="E21" i="1"/>
  <c r="F21" i="1"/>
  <c r="G21" i="1"/>
  <c r="E9" i="1"/>
  <c r="C17" i="1"/>
  <c r="Q21" i="1"/>
  <c r="I21" i="1"/>
  <c r="C12" i="1"/>
  <c r="C11" i="1"/>
  <c r="F15" i="1" l="1"/>
  <c r="O21" i="1"/>
  <c r="C15" i="1"/>
  <c r="O22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<sst xmlns="http://schemas.openxmlformats.org/spreadsheetml/2006/main" count="67" uniqueCount="60">
  <si>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</si>
  <si>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</si>
  <si>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</si>
  <si>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</si>
  <si>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</si>
  <si>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</si>
  <si>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</si>
  <si>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</si>
  <si>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</si>
  <si>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</si>
  <si>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</si>
  <si>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</si>
  <si>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</si>
  <si>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</si>
  <si>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</si>
  <si>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</si>
  <si>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</si>
  <si>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</si>
  <si>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</si>
  <si>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</si>
  <si>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</si>
  <si>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</si>
  <si>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</si>
  <si>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</si>
  <si>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</si>
  <si>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</si>
  <si>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</si>
  <si>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</si>
  <si>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</si>
  <si>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</si>
  <si>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</si>
  <si>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</si>
  <si>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</si>
  <si>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</si>
  <si>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</si>
  <si>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</si>
  <si>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</si>
  <si>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</si>
  <si>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</si>
  <si>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</si>
  <si>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</si>
  <si>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G2831-1605</t>
  </si>
  <si>
    <t>2019G</t>
  </si>
  <si>
    <t>EA</t>
  </si>
  <si>
    <t>pr_</t>
  </si>
  <si>
    <t>G2831</t>
  </si>
  <si>
    <t>And</t>
  </si>
  <si>
    <t>yes</t>
  </si>
  <si>
    <t>VSX</t>
  </si>
  <si>
    <t>OEJV 0191</t>
  </si>
  <si>
    <t>as of 2019-07-08</t>
  </si>
  <si>
    <t>II</t>
  </si>
  <si>
    <t>I</t>
  </si>
  <si>
    <t>Constell:</t>
  </si>
  <si>
    <t>Next ToM-P</t>
  </si>
  <si>
    <t>Next ToM-S</t>
  </si>
  <si>
    <t>CSS_J022211.2+385319 And/GSC 2831-1605</t>
  </si>
  <si>
    <t>VSX : Detail for CSS_J022211.2+385319</t>
  </si>
  <si>
    <t>14.37 (0.31)</t>
  </si>
  <si>
    <t>Mag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</si>
</sst>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23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" borderId="1" xfId="0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9" fillId="0" borderId="0" xfId="0" applyFo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0" fillId="0" borderId="6" xfId="0" applyBorder="1">
      <alignment vertical="top"/>
    </xf>
    <xf numFmtId="0" fontId="20" fillId="0" borderId="9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20" fillId="4" borderId="7" xfId="0" applyFont="1" applyFill="1" applyBorder="1" applyAlignment="1">
      <alignment horizontal="right" vertical="center"/>
    </xf>
    <xf numFmtId="0" fontId="5" fillId="4" borderId="8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22" fontId="21" fillId="0" borderId="12" xfId="0" applyNumberFormat="1" applyFont="1" applyBorder="1" applyAlignment="1">
      <alignment horizontal="right" vertical="center"/>
    </xf>
    <xf numFmtId="0" fontId="23" fillId="0" borderId="0" xfId="8" applyAlignment="1">
      <alignment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2831-1605 -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B3-4478-9C5B-65F38BF533E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-4.4730000008712523E-3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B3-4478-9C5B-65F38BF533E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B3-4478-9C5B-65F38BF533E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B3-4478-9C5B-65F38BF533E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B3-4478-9C5B-65F38BF533E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B3-4478-9C5B-65F38BF533E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0.01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B3-4478-9C5B-65F38BF533E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-4.4730000008712523E-3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B3-4478-9C5B-65F38BF533E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B3-4478-9C5B-65F38BF5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03608"/>
        <c:axId val="1"/>
      </c:scatterChart>
      <c:valAx>
        <c:axId val="796703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03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18</xdr:col>
      <xdr:colOff>257175</xdr:colOff>
      <xdr:row>18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CD2C946-C442-CF2A-CDF5-F563C8E48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636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style="3" customWidth="1"/>
    <col min="3" max="3" width="11.85546875" customWidth="1"/>
    <col min="4" max="4" width="9.42578125" customWidth="1"/>
    <col min="5" max="5" width="13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56</v>
      </c>
      <c r="F1" s="29" t="s">
        <v>41</v>
      </c>
      <c r="G1" s="30" t="s">
        <v>42</v>
      </c>
      <c r="H1" s="31"/>
      <c r="I1" s="32" t="s">
        <v>41</v>
      </c>
      <c r="J1" s="33" t="s">
        <v>41</v>
      </c>
      <c r="K1" s="34">
        <v>2.2210999999999999</v>
      </c>
      <c r="L1" s="35">
        <v>38.531999999999996</v>
      </c>
      <c r="M1" s="36">
        <v>57290.875999999997</v>
      </c>
      <c r="N1" s="36">
        <v>0.49340600000000001</v>
      </c>
      <c r="O1" s="35" t="s">
        <v>43</v>
      </c>
      <c r="P1">
        <v>14.37</v>
      </c>
      <c r="Q1">
        <v>14.68</v>
      </c>
      <c r="R1" t="s">
        <v>44</v>
      </c>
      <c r="S1" t="s">
        <v>13</v>
      </c>
      <c r="T1" t="s">
        <v>45</v>
      </c>
      <c r="U1">
        <v>9999</v>
      </c>
      <c r="V1" t="s">
        <v>46</v>
      </c>
      <c r="W1" t="s">
        <v>47</v>
      </c>
    </row>
    <row r="2" spans="1:23" x14ac:dyDescent="0.2">
      <c r="A2" t="s">
        <v>23</v>
      </c>
      <c r="B2" s="3" t="s">
        <v>43</v>
      </c>
      <c r="C2" s="28" t="s">
        <v>53</v>
      </c>
      <c r="D2" s="49" t="s">
        <v>57</v>
      </c>
    </row>
    <row r="3" spans="1:23" ht="13.5" thickBot="1" x14ac:dyDescent="0.25"/>
    <row r="4" spans="1:23" ht="14.25" thickTop="1" thickBot="1" x14ac:dyDescent="0.25">
      <c r="A4" s="5" t="s">
        <v>0</v>
      </c>
      <c r="C4" s="25" t="s">
        <v>36</v>
      </c>
      <c r="D4" s="26" t="s">
        <v>36</v>
      </c>
      <c r="E4" s="37" t="s">
        <v>50</v>
      </c>
    </row>
    <row r="5" spans="1:23" ht="13.5" thickTop="1" x14ac:dyDescent="0.2">
      <c r="A5" s="9" t="s">
        <v>28</v>
      </c>
      <c r="B5" s="38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39">
        <v>57290.875999999997</v>
      </c>
      <c r="D7" t="s">
        <v>49</v>
      </c>
    </row>
    <row r="8" spans="1:23" x14ac:dyDescent="0.2">
      <c r="A8" t="s">
        <v>3</v>
      </c>
      <c r="C8" s="39">
        <v>0.49340600000000001</v>
      </c>
      <c r="D8" s="27" t="s">
        <v>48</v>
      </c>
    </row>
    <row r="9" spans="1:23" x14ac:dyDescent="0.2">
      <c r="A9" s="22" t="s">
        <v>31</v>
      </c>
      <c r="C9" s="23">
        <v>21</v>
      </c>
      <c r="D9" s="20" t="str">
        <f>"F"&amp;C9</f>
        <v>F21</v>
      </c>
      <c r="E9" s="21" t="str">
        <f>"G"&amp;C9</f>
        <v>G21</v>
      </c>
    </row>
    <row r="10" spans="1:23" ht="13.5" thickBot="1" x14ac:dyDescent="0.25">
      <c r="A10" s="10"/>
      <c r="B10" s="38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38"/>
      <c r="C11" s="19">
        <f ca="1">INTERCEPT(INDIRECT($E$9):G992,INDIRECT($D$9):F992)</f>
        <v>0</v>
      </c>
      <c r="D11" s="3"/>
      <c r="E11" s="10"/>
    </row>
    <row r="12" spans="1:23" x14ac:dyDescent="0.2">
      <c r="A12" s="10" t="s">
        <v>16</v>
      </c>
      <c r="B12" s="38"/>
      <c r="C12" s="19">
        <f ca="1">SLOPE(INDIRECT($E$9):G992,INDIRECT($D$9):F992)</f>
        <v>-3.4527209578319199E-6</v>
      </c>
      <c r="D12" s="3"/>
      <c r="E12" s="43" t="s">
        <v>59</v>
      </c>
      <c r="F12" s="44" t="s">
        <v>58</v>
      </c>
    </row>
    <row r="13" spans="1:23" x14ac:dyDescent="0.2">
      <c r="A13" s="10" t="s">
        <v>18</v>
      </c>
      <c r="B13" s="38"/>
      <c r="C13" s="3" t="s">
        <v>13</v>
      </c>
      <c r="E13" s="41" t="s">
        <v>33</v>
      </c>
      <c r="F13" s="46">
        <v>1</v>
      </c>
    </row>
    <row r="14" spans="1:23" x14ac:dyDescent="0.2">
      <c r="A14" s="10"/>
      <c r="B14" s="38"/>
      <c r="C14" s="10"/>
      <c r="E14" s="41" t="s">
        <v>30</v>
      </c>
      <c r="F14" s="45">
        <f ca="1">NOW()+15018.5+$C$5/24</f>
        <v>60883.819111111108</v>
      </c>
    </row>
    <row r="15" spans="1:23" x14ac:dyDescent="0.2">
      <c r="A15" s="12" t="s">
        <v>17</v>
      </c>
      <c r="B15" s="38"/>
      <c r="C15" s="13">
        <f ca="1">(C7+C11)+(C8+C12)*INT(MAX(F21:F3533))</f>
        <v>57929.832298726353</v>
      </c>
      <c r="E15" s="41" t="s">
        <v>34</v>
      </c>
      <c r="F15" s="45">
        <f ca="1">ROUND(2*($F$14-$C$7)/$C$8,0)/2+$F$13</f>
        <v>7283</v>
      </c>
    </row>
    <row r="16" spans="1:23" x14ac:dyDescent="0.2">
      <c r="A16" s="15" t="s">
        <v>4</v>
      </c>
      <c r="B16" s="38"/>
      <c r="C16" s="16">
        <f ca="1">+C8+C12</f>
        <v>0.4934025472790422</v>
      </c>
      <c r="E16" s="41" t="s">
        <v>35</v>
      </c>
      <c r="F16" s="45">
        <f ca="1">ROUND(2*($F$14-$C$15)/$C$16,0)/2+$F$13</f>
        <v>5988</v>
      </c>
    </row>
    <row r="17" spans="1:21" ht="13.5" thickBot="1" x14ac:dyDescent="0.25">
      <c r="A17" s="14" t="s">
        <v>27</v>
      </c>
      <c r="B17" s="38"/>
      <c r="C17" s="10">
        <f>COUNT(C21:C2191)</f>
        <v>2</v>
      </c>
      <c r="E17" s="41" t="s">
        <v>54</v>
      </c>
      <c r="F17" s="47">
        <f ca="1">+$C$15+$C$16*$F$16-15018.5-$C$5/24</f>
        <v>45866.222585166593</v>
      </c>
    </row>
    <row r="18" spans="1:21" ht="14.25" thickTop="1" thickBot="1" x14ac:dyDescent="0.25">
      <c r="A18" s="15" t="s">
        <v>5</v>
      </c>
      <c r="B18" s="38"/>
      <c r="C18" s="18">
        <f ca="1">+C15</f>
        <v>57929.832298726353</v>
      </c>
      <c r="D18" s="40">
        <f ca="1">+C16</f>
        <v>0.4934025472790422</v>
      </c>
      <c r="E18" s="42" t="s">
        <v>55</v>
      </c>
      <c r="F18" s="48">
        <f ca="1">+($C$15+$C$16*$F$16)-($C$16/2)-15018.5-$C$5/24</f>
        <v>45865.975883892956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s="21" t="s">
        <v>49</v>
      </c>
      <c r="B21" s="3" t="s">
        <v>51</v>
      </c>
      <c r="C21" s="8">
        <v>57290.875999999997</v>
      </c>
      <c r="D21" s="8">
        <v>0.01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42272.375999999997</v>
      </c>
    </row>
    <row r="22" spans="1:21" x14ac:dyDescent="0.2">
      <c r="A22" s="21" t="s">
        <v>49</v>
      </c>
      <c r="B22" s="3" t="s">
        <v>52</v>
      </c>
      <c r="C22" s="8">
        <v>57930.078999999998</v>
      </c>
      <c r="D22" s="8">
        <v>0.01</v>
      </c>
      <c r="E22">
        <f>+(C22-C$7)/C$8</f>
        <v>1295.4909344434427</v>
      </c>
      <c r="F22">
        <f>ROUND(2*E22,0)/2</f>
        <v>1295.5</v>
      </c>
      <c r="G22">
        <f>+C22-(C$7+F22*C$8)</f>
        <v>-4.4730000008712523E-3</v>
      </c>
      <c r="I22">
        <f>+G22</f>
        <v>-4.4730000008712523E-3</v>
      </c>
      <c r="O22">
        <f ca="1">+C$11+C$12*$F22</f>
        <v>-4.4730000008712523E-3</v>
      </c>
      <c r="Q22" s="2">
        <f>+C22-15018.5</f>
        <v>42911.578999999998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hyperlinks>
    <hyperlink ref="D2" r:id="rId1" display="https://vsx.aavso.org/index.php?view=detail.top&amp;oid=363628" xr:uid="{15139B21-48CB-41FE-8C60-33957CBE99F7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2025-07-27T07:39:31Z</dcterms:modified>
</cp:coreProperties>
</file>