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DCFD1485-2A89-4B88-AC11-1DF780BF64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Q22" i="1"/>
  <c r="D9" i="1"/>
  <c r="E21" i="1"/>
  <c r="F21" i="1"/>
  <c r="G21" i="1"/>
  <c r="I21" i="1"/>
  <c r="E9" i="1"/>
  <c r="C17" i="1"/>
  <c r="Q21" i="1"/>
  <c r="C12" i="1"/>
  <c r="C11" i="1"/>
  <c r="F15" i="1" l="1"/>
  <c r="O21" i="1"/>
  <c r="O22" i="1"/>
  <c r="C15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<sst xmlns="http://schemas.openxmlformats.org/spreadsheetml/2006/main" count="64" uniqueCount="57">
  <si>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</si>
  <si>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</si>
  <si>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</si>
  <si>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</si>
  <si>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</si>
  <si>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</si>
  <si>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</si>
  <si>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</si>
  <si>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</si>
  <si>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</si>
  <si>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</si>
  <si>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</si>
  <si>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</si>
  <si>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</si>
  <si>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</si>
  <si>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</si>
  <si>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</si>
  <si>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</si>
  <si>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</si>
  <si>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</si>
  <si>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</si>
  <si>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</si>
  <si>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</si>
  <si>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</si>
  <si>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</si>
  <si>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</si>
  <si>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</si>
  <si>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</si>
  <si>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</si>
  <si>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</si>
  <si>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</si>
  <si>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</si>
  <si>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</si>
  <si>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</si>
  <si>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</si>
  <si>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</si>
  <si>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</si>
  <si>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</si>
  <si>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</si>
  <si>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</si>
  <si>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</si>
  <si>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G3645-1372</t>
  </si>
  <si>
    <t>2019G</t>
  </si>
  <si>
    <t>EW</t>
  </si>
  <si>
    <t>pr_</t>
  </si>
  <si>
    <t>G3645</t>
  </si>
  <si>
    <t>And</t>
  </si>
  <si>
    <t>yes</t>
  </si>
  <si>
    <t>VSX</t>
  </si>
  <si>
    <t>OEJV 0191</t>
  </si>
  <si>
    <t>I</t>
  </si>
  <si>
    <t>TSVSC1 TN-N012002023-181-67-2 And/GSC 3645-1372</t>
  </si>
  <si>
    <t>VSX : Detail for TSVSC1 TN-N012002023-181-67-2</t>
  </si>
  <si>
    <t xml:space="preserve">Mag </t>
  </si>
  <si>
    <t>Next ToM-P</t>
  </si>
  <si>
    <t>Next ToM-S</t>
  </si>
  <si>
    <t>12.40-13.00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</si>
</sst>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u/>
      <sz val="10"/>
      <color theme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19" fillId="0" borderId="0" applyNumberFormat="0" applyFill="0" applyBorder="0" applyAlignment="0" applyProtection="0">
      <alignment vertical="top"/>
    </xf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5" fillId="3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9" fillId="0" borderId="0" xfId="8" applyAlignment="1">
      <alignment vertical="center"/>
    </xf>
    <xf numFmtId="0" fontId="0" fillId="0" borderId="7" xfId="0" applyBorder="1">
      <alignment vertical="top"/>
    </xf>
    <xf numFmtId="0" fontId="20" fillId="0" borderId="10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20" fillId="5" borderId="8" xfId="0" applyFont="1" applyFill="1" applyBorder="1" applyAlignment="1">
      <alignment horizontal="right" vertical="center"/>
    </xf>
    <xf numFmtId="0" fontId="6" fillId="5" borderId="9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22" fontId="21" fillId="0" borderId="11" xfId="0" applyNumberFormat="1" applyFont="1" applyBorder="1" applyAlignment="1">
      <alignment horizontal="right" vertical="center"/>
    </xf>
    <xf numFmtId="22" fontId="21" fillId="0" borderId="13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8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3645-1372 -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AB-41C8-9053-57DDAF8A12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1.221199992869515E-3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AB-41C8-9053-57DDAF8A12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AB-41C8-9053-57DDAF8A12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AB-41C8-9053-57DDAF8A12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AB-41C8-9053-57DDAF8A12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AB-41C8-9053-57DDAF8A12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AB-41C8-9053-57DDAF8A12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1.221199992869515E-3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AB-41C8-9053-57DDAF8A128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AB-41C8-9053-57DDAF8A1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134368"/>
        <c:axId val="1"/>
      </c:scatterChart>
      <c:valAx>
        <c:axId val="791134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134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18</xdr:col>
      <xdr:colOff>85725</xdr:colOff>
      <xdr:row>18</xdr:row>
      <xdr:rowOff>142875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A46D1FA-3A6C-19E6-0CBC-7E5B6C4BB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60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51</v>
      </c>
      <c r="F1" s="31"/>
      <c r="G1" s="32" t="s">
        <v>42</v>
      </c>
      <c r="H1" s="33"/>
      <c r="I1" s="34" t="s">
        <v>41</v>
      </c>
      <c r="J1" s="31" t="s">
        <v>41</v>
      </c>
      <c r="K1" s="35">
        <v>2.2210999999999999</v>
      </c>
      <c r="L1" s="29">
        <v>38.531999999999996</v>
      </c>
      <c r="M1" s="36">
        <v>56893.429000000004</v>
      </c>
      <c r="N1" s="30">
        <v>0.37137940000000003</v>
      </c>
      <c r="O1" s="29" t="s">
        <v>43</v>
      </c>
      <c r="P1" s="29">
        <v>12.4</v>
      </c>
      <c r="Q1" s="29">
        <v>13</v>
      </c>
      <c r="R1" s="37" t="s">
        <v>44</v>
      </c>
      <c r="S1" s="38" t="s">
        <v>13</v>
      </c>
      <c r="T1" s="39" t="s">
        <v>45</v>
      </c>
      <c r="U1" s="40">
        <v>9999</v>
      </c>
      <c r="V1" s="28" t="s">
        <v>46</v>
      </c>
      <c r="W1" s="41" t="s">
        <v>47</v>
      </c>
    </row>
    <row r="2" spans="1:23" x14ac:dyDescent="0.2">
      <c r="A2" t="s">
        <v>23</v>
      </c>
      <c r="B2" t="s">
        <v>43</v>
      </c>
      <c r="C2" s="43" t="s">
        <v>52</v>
      </c>
      <c r="D2" s="3"/>
    </row>
    <row r="3" spans="1:23" ht="13.5" thickBot="1" x14ac:dyDescent="0.25"/>
    <row r="4" spans="1:23" ht="14.25" thickTop="1" thickBot="1" x14ac:dyDescent="0.25">
      <c r="A4" s="5" t="s">
        <v>0</v>
      </c>
      <c r="C4" s="25" t="s">
        <v>36</v>
      </c>
      <c r="D4" s="26" t="s">
        <v>36</v>
      </c>
    </row>
    <row r="5" spans="1:23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42">
        <v>56893.429000000004</v>
      </c>
      <c r="D7" s="27" t="s">
        <v>48</v>
      </c>
    </row>
    <row r="8" spans="1:23" x14ac:dyDescent="0.2">
      <c r="A8" t="s">
        <v>3</v>
      </c>
      <c r="C8" s="42">
        <v>0.37137940000000003</v>
      </c>
      <c r="D8" s="27" t="s">
        <v>48</v>
      </c>
    </row>
    <row r="9" spans="1:23" x14ac:dyDescent="0.2">
      <c r="A9" s="22" t="s">
        <v>31</v>
      </c>
      <c r="C9" s="23">
        <v>21</v>
      </c>
      <c r="D9" s="20" t="str">
        <f>"F"&amp;C9</f>
        <v>F21</v>
      </c>
      <c r="E9" s="21" t="str">
        <f>"G"&amp;C9</f>
        <v>G21</v>
      </c>
    </row>
    <row r="10" spans="1:23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10"/>
      <c r="C11" s="19">
        <f ca="1">INTERCEPT(INDIRECT($E$9):G992,INDIRECT($D$9):F992)</f>
        <v>0</v>
      </c>
      <c r="D11" s="3"/>
      <c r="E11" s="10"/>
    </row>
    <row r="12" spans="1:23" x14ac:dyDescent="0.2">
      <c r="A12" s="10" t="s">
        <v>16</v>
      </c>
      <c r="B12" s="10"/>
      <c r="C12" s="19">
        <f ca="1">SLOPE(INDIRECT($E$9):G992,INDIRECT($D$9):F992)</f>
        <v>3.6983646059040431E-7</v>
      </c>
      <c r="D12" s="3"/>
      <c r="E12" s="47" t="s">
        <v>53</v>
      </c>
      <c r="F12" s="48" t="s">
        <v>56</v>
      </c>
    </row>
    <row r="13" spans="1:23" x14ac:dyDescent="0.2">
      <c r="A13" s="10" t="s">
        <v>18</v>
      </c>
      <c r="B13" s="10"/>
      <c r="C13" s="3" t="s">
        <v>13</v>
      </c>
      <c r="E13" s="45" t="s">
        <v>33</v>
      </c>
      <c r="F13" s="50">
        <v>1</v>
      </c>
    </row>
    <row r="14" spans="1:23" x14ac:dyDescent="0.2">
      <c r="A14" s="10"/>
      <c r="B14" s="10"/>
      <c r="C14" s="10"/>
      <c r="E14" s="45" t="s">
        <v>30</v>
      </c>
      <c r="F14" s="49">
        <f ca="1">NOW()+15018.5+$C$5/24</f>
        <v>60883.822106597217</v>
      </c>
    </row>
    <row r="15" spans="1:23" x14ac:dyDescent="0.2">
      <c r="A15" s="12" t="s">
        <v>17</v>
      </c>
      <c r="B15" s="10"/>
      <c r="C15" s="13">
        <f ca="1">(C7+C11)+(C8+C12)*INT(MAX(F21:F3533))</f>
        <v>58119.724999999999</v>
      </c>
      <c r="E15" s="45" t="s">
        <v>34</v>
      </c>
      <c r="F15" s="49">
        <f ca="1">ROUND(2*($F$14-$C$7)/$C$8,0)/2+$F$13</f>
        <v>10746</v>
      </c>
    </row>
    <row r="16" spans="1:23" x14ac:dyDescent="0.2">
      <c r="A16" s="15" t="s">
        <v>4</v>
      </c>
      <c r="B16" s="10"/>
      <c r="C16" s="16">
        <f ca="1">+C8+C12</f>
        <v>0.37137976983646059</v>
      </c>
      <c r="E16" s="45" t="s">
        <v>35</v>
      </c>
      <c r="F16" s="49">
        <f ca="1">ROUND(2*($F$14-$C$15)/$C$16,0)/2+$F$13</f>
        <v>7444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45" t="s">
        <v>54</v>
      </c>
      <c r="F17" s="51">
        <f ca="1">+$C$15+$C$16*$F$16-15018.5-$C$5/24</f>
        <v>45866.17183999595</v>
      </c>
    </row>
    <row r="18" spans="1:21" ht="14.25" thickTop="1" thickBot="1" x14ac:dyDescent="0.25">
      <c r="A18" s="15" t="s">
        <v>5</v>
      </c>
      <c r="B18" s="10"/>
      <c r="C18" s="18">
        <f ca="1">+C15</f>
        <v>58119.724999999999</v>
      </c>
      <c r="D18" s="44">
        <f ca="1">+C16</f>
        <v>0.37137976983646059</v>
      </c>
      <c r="E18" s="46" t="s">
        <v>55</v>
      </c>
      <c r="F18" s="52">
        <f ca="1">+($C$15+$C$16*$F$16)-($C$16/2)-15018.5-$C$5/24</f>
        <v>45865.986150111035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x14ac:dyDescent="0.2">
      <c r="A21" t="s">
        <v>48</v>
      </c>
      <c r="C21" s="8">
        <v>56893.429000000004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41874.929000000004</v>
      </c>
    </row>
    <row r="22" spans="1:21" x14ac:dyDescent="0.2">
      <c r="A22" t="s">
        <v>49</v>
      </c>
      <c r="B22" t="s">
        <v>50</v>
      </c>
      <c r="C22" s="8">
        <v>58119.724999999999</v>
      </c>
      <c r="D22" s="8">
        <v>5.0000000000000001E-3</v>
      </c>
      <c r="E22">
        <f>+(C22-C$7)/C$8</f>
        <v>3302.0032882814576</v>
      </c>
      <c r="F22">
        <f>ROUND(2*E22,0)/2</f>
        <v>3302</v>
      </c>
      <c r="G22">
        <f>+C22-(C$7+F22*C$8)</f>
        <v>1.221199992869515E-3</v>
      </c>
      <c r="I22">
        <f>+G22</f>
        <v>1.221199992869515E-3</v>
      </c>
      <c r="O22">
        <f ca="1">+C$11+C$12*$F22</f>
        <v>1.221199992869515E-3</v>
      </c>
      <c r="Q22" s="2">
        <f>+C22-15018.5</f>
        <v>43101.224999999999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C2" r:id="rId1" display="https://vsx.aavso.org/index.php?view=detail.top&amp;oid=160144" xr:uid="{AB0B8AAA-FB3E-4DED-A0AD-CC49DA3259C1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2025-07-27T07:43:50Z</dcterms:modified>
</cp:coreProperties>
</file>