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05BDED7-A210-4A4C-BF40-B78FF8E9F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Inactive 2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I28" i="1" s="1"/>
  <c r="Q28" i="1"/>
  <c r="E29" i="1"/>
  <c r="F29" i="1" s="1"/>
  <c r="G29" i="1" s="1"/>
  <c r="I29" i="1" s="1"/>
  <c r="Q29" i="1"/>
  <c r="E27" i="2"/>
  <c r="F27" i="2"/>
  <c r="G27" i="2"/>
  <c r="I27" i="2"/>
  <c r="E25" i="2"/>
  <c r="F25" i="2"/>
  <c r="G25" i="2"/>
  <c r="I25" i="2"/>
  <c r="E24" i="2"/>
  <c r="F24" i="2"/>
  <c r="G24" i="2"/>
  <c r="I24" i="2"/>
  <c r="D7" i="2"/>
  <c r="F11" i="2"/>
  <c r="E21" i="2"/>
  <c r="F21" i="2"/>
  <c r="G21" i="2"/>
  <c r="H21" i="2"/>
  <c r="E22" i="2"/>
  <c r="F22" i="2"/>
  <c r="G22" i="2"/>
  <c r="I22" i="2"/>
  <c r="E23" i="2"/>
  <c r="F23" i="2"/>
  <c r="G23" i="2"/>
  <c r="I23" i="2"/>
  <c r="E26" i="2"/>
  <c r="F26" i="2"/>
  <c r="G26" i="2"/>
  <c r="I26" i="2"/>
  <c r="G11" i="2"/>
  <c r="E14" i="2"/>
  <c r="C17" i="2"/>
  <c r="Q21" i="2"/>
  <c r="Q22" i="2"/>
  <c r="Q23" i="2"/>
  <c r="Q24" i="2"/>
  <c r="Q25" i="2"/>
  <c r="Q26" i="2"/>
  <c r="Q27" i="2"/>
  <c r="F11" i="1"/>
  <c r="Q23" i="1"/>
  <c r="Q24" i="1"/>
  <c r="Q25" i="1"/>
  <c r="Q26" i="1"/>
  <c r="Q27" i="1"/>
  <c r="Q22" i="1"/>
  <c r="G11" i="1"/>
  <c r="E14" i="1"/>
  <c r="E15" i="1" s="1"/>
  <c r="C17" i="1"/>
  <c r="E23" i="1"/>
  <c r="F23" i="1" s="1"/>
  <c r="G23" i="1" s="1"/>
  <c r="I23" i="1" s="1"/>
  <c r="Q21" i="1"/>
  <c r="E25" i="1"/>
  <c r="F25" i="1"/>
  <c r="G25" i="1"/>
  <c r="I25" i="1" s="1"/>
  <c r="E27" i="1"/>
  <c r="F27" i="1"/>
  <c r="G27" i="1" s="1"/>
  <c r="I27" i="1" s="1"/>
  <c r="E24" i="1"/>
  <c r="F24" i="1"/>
  <c r="G24" i="1"/>
  <c r="I24" i="1" s="1"/>
  <c r="E21" i="1"/>
  <c r="F21" i="1"/>
  <c r="G21" i="1" s="1"/>
  <c r="H21" i="1" s="1"/>
  <c r="E26" i="1"/>
  <c r="F26" i="1"/>
  <c r="G26" i="1" s="1"/>
  <c r="I26" i="1" s="1"/>
  <c r="E22" i="1"/>
  <c r="F22" i="1" s="1"/>
  <c r="G22" i="1" s="1"/>
  <c r="I22" i="1" s="1"/>
  <c r="C12" i="2"/>
  <c r="C12" i="1"/>
  <c r="C16" i="1" l="1"/>
  <c r="D18" i="1" s="1"/>
  <c r="C16" i="2"/>
  <c r="D18" i="2" s="1"/>
  <c r="E15" i="2"/>
  <c r="C11" i="2"/>
  <c r="C11" i="1"/>
  <c r="O28" i="1" l="1"/>
  <c r="O29" i="1"/>
  <c r="C15" i="2"/>
  <c r="E16" i="2" s="1"/>
  <c r="E17" i="2" s="1"/>
  <c r="O26" i="2"/>
  <c r="O21" i="2"/>
  <c r="O24" i="2"/>
  <c r="O25" i="2"/>
  <c r="O22" i="2"/>
  <c r="O23" i="2"/>
  <c r="O27" i="2"/>
  <c r="O25" i="1"/>
  <c r="O21" i="1"/>
  <c r="C15" i="1"/>
  <c r="O27" i="1"/>
  <c r="O23" i="1"/>
  <c r="O22" i="1"/>
  <c r="O26" i="1"/>
  <c r="O24" i="1"/>
  <c r="C18" i="2" l="1"/>
  <c r="C18" i="1"/>
  <c r="E16" i="1"/>
  <c r="E17" i="1" s="1"/>
</calcChain>
</file>

<file path=xl/sharedStrings.xml><?xml version="1.0" encoding="utf-8"?>
<sst xmlns="http://schemas.openxmlformats.org/spreadsheetml/2006/main" count="121" uniqueCount="52">
  <si>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</si>
  <si>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</si>
  <si>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</si>
  <si>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</si>
  <si>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</si>
  <si>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</si>
  <si>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</si>
  <si>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</si>
  <si>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</si>
  <si>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</si>
  <si>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</si>
  <si>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</si>
  <si>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</si>
  <si>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</si>
  <si>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</si>
  <si>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</si>
  <si>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</si>
  <si>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</si>
  <si>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</si>
  <si>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</si>
  <si>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</si>
  <si>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</si>
  <si>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</si>
  <si>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</si>
  <si>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</si>
  <si>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</si>
  <si>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</si>
  <si>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</si>
  <si>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</si>
  <si>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</si>
  <si>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</si>
  <si>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</si>
  <si>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</si>
  <si>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</si>
  <si>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</si>
  <si>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</si>
  <si>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</si>
  <si>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</si>
  <si>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 xml:space="preserve">V395 And / GSC 03638-01086               </t>
  </si>
  <si>
    <t>EW</t>
  </si>
  <si>
    <t>IBVS 5958</t>
  </si>
  <si>
    <t>I</t>
  </si>
  <si>
    <t>Add cycle</t>
  </si>
  <si>
    <t>Old Cycle</t>
  </si>
  <si>
    <t>Start of linear fit &gt;&gt;&gt;&gt;&gt;&gt;&gt;&gt;&gt;&gt;&gt;&gt;&gt;&gt;&gt;&gt;&gt;&gt;&gt;&gt;&gt;</t>
  </si>
  <si>
    <t>IBVS 6165</t>
  </si>
  <si>
    <t>II</t>
  </si>
  <si>
    <t>Radial Velocity studies of close binary stars. X.</t>
  </si>
  <si>
    <t>better period found by ToMcat 2016-10-16</t>
  </si>
  <si>
    <t>However, Rucinski et al would know the period</t>
  </si>
  <si>
    <t xml:space="preserve">V0395 And / GSC 03638-01086               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</si>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</sst>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12" fillId="0" borderId="6" xfId="0" applyFont="1" applyBorder="1" applyAlignment="1"/>
    <xf numFmtId="0" fontId="12" fillId="0" borderId="7" xfId="0" applyFont="1" applyBorder="1" applyAlignment="1"/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4" fillId="0" borderId="0" xfId="0" applyFo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43" fontId="18" fillId="0" borderId="0" xfId="8" applyFont="1" applyBorder="1"/>
    <xf numFmtId="0" fontId="18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V0395 And - O-C Diagr.</a:t>
            </a:r>
          </a:p>
        </c:rich>
      </c:tx>
      <c:layout>
        <c:manualLayout>
          <c:xMode val="edge"/>
          <c:yMode val="edge"/>
          <c:x val="0.3700310626309326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8583011669492"/>
          <c:y val="0.14723926380368099"/>
          <c:w val="0.8165149807001694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E8-4A17-8F54-FF02CB2175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-3.5250000000814907E-2</c:v>
                </c:pt>
                <c:pt idx="2">
                  <c:v>2.8550000002724119E-2</c:v>
                </c:pt>
                <c:pt idx="3">
                  <c:v>-0.10399999999935972</c:v>
                </c:pt>
                <c:pt idx="4">
                  <c:v>0.10720000000583241</c:v>
                </c:pt>
                <c:pt idx="5">
                  <c:v>-5.340000000433065E-2</c:v>
                </c:pt>
                <c:pt idx="6">
                  <c:v>2.4449999997159466E-2</c:v>
                </c:pt>
                <c:pt idx="7">
                  <c:v>8.1149999998160638E-2</c:v>
                </c:pt>
                <c:pt idx="8">
                  <c:v>8.1299999998009298E-2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E8-4A17-8F54-FF02CB2175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E8-4A17-8F54-FF02CB2175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E8-4A17-8F54-FF02CB2175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E8-4A17-8F54-FF02CB2175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E8-4A17-8F54-FF02CB2175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0.01</c:v>
                  </c:pt>
                  <c:pt idx="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E8-4A17-8F54-FF02CB2175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9873.5</c:v>
                </c:pt>
                <c:pt idx="2">
                  <c:v>11300.5</c:v>
                </c:pt>
                <c:pt idx="3">
                  <c:v>11305</c:v>
                </c:pt>
                <c:pt idx="4">
                  <c:v>11309</c:v>
                </c:pt>
                <c:pt idx="5">
                  <c:v>11324</c:v>
                </c:pt>
                <c:pt idx="6">
                  <c:v>11332.5</c:v>
                </c:pt>
                <c:pt idx="7">
                  <c:v>16200.5</c:v>
                </c:pt>
                <c:pt idx="8">
                  <c:v>16206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-4.0683823053106499E-2</c:v>
                </c:pt>
                <c:pt idx="1">
                  <c:v>8.8733948021277528E-3</c:v>
                </c:pt>
                <c:pt idx="2">
                  <c:v>1.603581439795692E-2</c:v>
                </c:pt>
                <c:pt idx="3">
                  <c:v>1.6058400864797304E-2</c:v>
                </c:pt>
                <c:pt idx="4">
                  <c:v>1.6078477724210984E-2</c:v>
                </c:pt>
                <c:pt idx="5">
                  <c:v>1.6153765947012268E-2</c:v>
                </c:pt>
                <c:pt idx="6">
                  <c:v>1.6196429273266331E-2</c:v>
                </c:pt>
                <c:pt idx="7">
                  <c:v>4.0629967179710888E-2</c:v>
                </c:pt>
                <c:pt idx="8">
                  <c:v>4.0657572861404701E-2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E8-4A17-8F54-FF02CB217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151080"/>
        <c:axId val="1"/>
      </c:scatterChart>
      <c:valAx>
        <c:axId val="644151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65634456243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151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71285928708451"/>
          <c:y val="0.92024539877300615"/>
          <c:w val="0.6850162537022321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V395 And - O-C Diagr.</a:t>
            </a:r>
          </a:p>
        </c:rich>
      </c:tx>
      <c:layout>
        <c:manualLayout>
          <c:xMode val="edge"/>
          <c:yMode val="edge"/>
          <c:x val="0.3700310626309326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723926380368099"/>
          <c:w val="0.80428254653237663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2'!$H$21:$H$999</c:f>
              <c:numCache>
                <c:formatCode>General</c:formatCode>
                <c:ptCount val="979"/>
                <c:pt idx="0">
                  <c:v>3.6270109558245167E-4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13-42F3-91B1-423070590502}"/>
            </c:ext>
          </c:extLst>
        </c:ser>
        <c:ser>
          <c:idx val="1"/>
          <c:order val="1"/>
          <c:tx>
            <c:strRef>
              <c:f>'Inactive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2'!$I$21:$I$999</c:f>
              <c:numCache>
                <c:formatCode>General</c:formatCode>
                <c:ptCount val="979"/>
                <c:pt idx="1">
                  <c:v>-2.7926408001803793E-3</c:v>
                </c:pt>
                <c:pt idx="2">
                  <c:v>3.2727141951909289E-3</c:v>
                </c:pt>
                <c:pt idx="3">
                  <c:v>-2.3967783126863651E-3</c:v>
                </c:pt>
                <c:pt idx="4">
                  <c:v>-6.6662708122748882E-3</c:v>
                </c:pt>
                <c:pt idx="5">
                  <c:v>9.4796297998982482E-3</c:v>
                </c:pt>
                <c:pt idx="6">
                  <c:v>-1.2593552019097842E-3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13-42F3-91B1-423070590502}"/>
            </c:ext>
          </c:extLst>
        </c:ser>
        <c:ser>
          <c:idx val="3"/>
          <c:order val="2"/>
          <c:tx>
            <c:strRef>
              <c:f>'Inactive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13-42F3-91B1-423070590502}"/>
            </c:ext>
          </c:extLst>
        </c:ser>
        <c:ser>
          <c:idx val="4"/>
          <c:order val="3"/>
          <c:tx>
            <c:strRef>
              <c:f>'Inactive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13-42F3-91B1-423070590502}"/>
            </c:ext>
          </c:extLst>
        </c:ser>
        <c:ser>
          <c:idx val="2"/>
          <c:order val="4"/>
          <c:tx>
            <c:strRef>
              <c:f>'Inactive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13-42F3-91B1-423070590502}"/>
            </c:ext>
          </c:extLst>
        </c:ser>
        <c:ser>
          <c:idx val="5"/>
          <c:order val="5"/>
          <c:tx>
            <c:strRef>
              <c:f>'Inactive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13-42F3-91B1-423070590502}"/>
            </c:ext>
          </c:extLst>
        </c:ser>
        <c:ser>
          <c:idx val="6"/>
          <c:order val="6"/>
          <c:tx>
            <c:strRef>
              <c:f>'Inactive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'Inactive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13-42F3-91B1-423070590502}"/>
            </c:ext>
          </c:extLst>
        </c:ser>
        <c:ser>
          <c:idx val="7"/>
          <c:order val="7"/>
          <c:tx>
            <c:strRef>
              <c:f>'Inactive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'Inactive 2'!$F$21:$F$999</c:f>
              <c:numCache>
                <c:formatCode>General</c:formatCode>
                <c:ptCount val="979"/>
                <c:pt idx="0">
                  <c:v>-15759</c:v>
                </c:pt>
                <c:pt idx="1">
                  <c:v>-2029</c:v>
                </c:pt>
                <c:pt idx="2">
                  <c:v>-44.5</c:v>
                </c:pt>
                <c:pt idx="3">
                  <c:v>-38.5</c:v>
                </c:pt>
                <c:pt idx="4">
                  <c:v>-32.5</c:v>
                </c:pt>
                <c:pt idx="5">
                  <c:v>-12</c:v>
                </c:pt>
                <c:pt idx="6">
                  <c:v>0</c:v>
                </c:pt>
              </c:numCache>
            </c:numRef>
          </c:xVal>
          <c:yVal>
            <c:numRef>
              <c:f>'Inactive 2'!$O$21:$O$999</c:f>
              <c:numCache>
                <c:formatCode>General</c:formatCode>
                <c:ptCount val="979"/>
                <c:pt idx="0">
                  <c:v>-2.151445304878333E-12</c:v>
                </c:pt>
                <c:pt idx="1">
                  <c:v>-5.3194864527647542E-12</c:v>
                </c:pt>
                <c:pt idx="2">
                  <c:v>-5.777387229019714E-12</c:v>
                </c:pt>
                <c:pt idx="3">
                  <c:v>-5.7787716606939543E-12</c:v>
                </c:pt>
                <c:pt idx="4">
                  <c:v>-5.7801560923681946E-12</c:v>
                </c:pt>
                <c:pt idx="5">
                  <c:v>-5.7848862339218488E-12</c:v>
                </c:pt>
                <c:pt idx="6">
                  <c:v>-5.7876550972703294E-12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13-42F3-91B1-42307059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155400"/>
        <c:axId val="1"/>
      </c:scatterChart>
      <c:valAx>
        <c:axId val="64415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237384317785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155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77096326261969"/>
          <c:y val="0.92024539877300615"/>
          <c:w val="0.6850162537022321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054281-3639-4CB3-BBAD-ECA7C6EB9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47625</xdr:rowOff>
    </xdr:from>
    <xdr:to>
      <xdr:col>18</xdr:col>
      <xdr:colOff>28575</xdr:colOff>
      <xdr:row>18</xdr:row>
      <xdr:rowOff>85725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CD34FEB0-4E92-16AD-AED7-4B4EEAA81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25</v>
      </c>
      <c r="B2" t="s">
        <v>39</v>
      </c>
      <c r="C2" s="34" t="s">
        <v>47</v>
      </c>
      <c r="D2" s="3"/>
    </row>
    <row r="3" spans="1:7" ht="13.5" thickBot="1" x14ac:dyDescent="0.25"/>
    <row r="4" spans="1:7" ht="13.5" thickBot="1" x14ac:dyDescent="0.25">
      <c r="A4" s="5" t="s">
        <v>0</v>
      </c>
      <c r="C4" s="22">
        <v>48699.994500000001</v>
      </c>
      <c r="D4" s="23">
        <v>0.68469999999999998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v>48699.994500000001</v>
      </c>
      <c r="D7">
        <v>0</v>
      </c>
    </row>
    <row r="8" spans="1:7" x14ac:dyDescent="0.2">
      <c r="A8" t="s">
        <v>3</v>
      </c>
      <c r="C8">
        <v>0.68469999999999998</v>
      </c>
    </row>
    <row r="9" spans="1:7" x14ac:dyDescent="0.2">
      <c r="A9" s="9" t="s">
        <v>32</v>
      </c>
      <c r="B9" s="10"/>
      <c r="C9" s="11">
        <v>-9.5</v>
      </c>
      <c r="D9" s="10" t="s">
        <v>33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7">
        <f ca="1">INTERCEPT(INDIRECT($G$11):G992,INDIRECT($F$11):F992)</f>
        <v>-4.0683823053106499E-2</v>
      </c>
      <c r="D11" s="3"/>
      <c r="E11" s="10"/>
      <c r="F11" s="28" t="str">
        <f>"F"&amp;E19</f>
        <v>F21</v>
      </c>
      <c r="G11" s="29" t="str">
        <f>"G"&amp;E19</f>
        <v>G21</v>
      </c>
    </row>
    <row r="12" spans="1:7" x14ac:dyDescent="0.2">
      <c r="A12" s="10" t="s">
        <v>17</v>
      </c>
      <c r="B12" s="10"/>
      <c r="C12" s="27">
        <f ca="1">SLOPE(INDIRECT($G$11):G992,INDIRECT($F$11):F992)</f>
        <v>5.0192148534191777E-6</v>
      </c>
      <c r="D12" s="3"/>
      <c r="E12" s="10"/>
    </row>
    <row r="13" spans="1:7" x14ac:dyDescent="0.2">
      <c r="A13" s="10" t="s">
        <v>20</v>
      </c>
      <c r="B13" s="10"/>
      <c r="C13" s="3" t="s">
        <v>14</v>
      </c>
      <c r="D13" s="14" t="s">
        <v>42</v>
      </c>
      <c r="E13" s="11">
        <v>1</v>
      </c>
    </row>
    <row r="14" spans="1:7" x14ac:dyDescent="0.2">
      <c r="A14" s="10"/>
      <c r="B14" s="10"/>
      <c r="C14" s="10"/>
      <c r="D14" s="14" t="s">
        <v>34</v>
      </c>
      <c r="E14" s="15">
        <f ca="1">NOW()+15018.5+$C$9/24</f>
        <v>60319.527412731477</v>
      </c>
    </row>
    <row r="15" spans="1:7" x14ac:dyDescent="0.2">
      <c r="A15" s="12" t="s">
        <v>18</v>
      </c>
      <c r="B15" s="10"/>
      <c r="C15" s="13">
        <f ca="1">(C7+C11)+(C8+C12)*INT(MAX(F21:F3533))</f>
        <v>59796.283357572858</v>
      </c>
      <c r="D15" s="14" t="s">
        <v>43</v>
      </c>
      <c r="E15" s="15">
        <f ca="1">ROUND(2*(E14-$C$7)/$C$8,0)/2+E13</f>
        <v>16971.5</v>
      </c>
    </row>
    <row r="16" spans="1:7" x14ac:dyDescent="0.2">
      <c r="A16" s="16" t="s">
        <v>4</v>
      </c>
      <c r="B16" s="10"/>
      <c r="C16" s="17">
        <f ca="1">+C8+C12</f>
        <v>0.68470501921485338</v>
      </c>
      <c r="D16" s="14" t="s">
        <v>35</v>
      </c>
      <c r="E16" s="29">
        <f ca="1">ROUND(2*(E14-$C$15)/$C$16,0)/2+E13</f>
        <v>765</v>
      </c>
    </row>
    <row r="17" spans="1:17" ht="13.5" thickBot="1" x14ac:dyDescent="0.25">
      <c r="A17" s="14" t="s">
        <v>31</v>
      </c>
      <c r="B17" s="10"/>
      <c r="C17" s="10">
        <f>COUNT(C21:C2191)</f>
        <v>9</v>
      </c>
      <c r="D17" s="14" t="s">
        <v>36</v>
      </c>
      <c r="E17" s="18">
        <f ca="1">+$C$15+$C$16*E16-15018.5-$C$9/24</f>
        <v>45301.978530605556</v>
      </c>
    </row>
    <row r="18" spans="1:17" ht="14.25" thickTop="1" thickBot="1" x14ac:dyDescent="0.25">
      <c r="A18" s="16" t="s">
        <v>5</v>
      </c>
      <c r="B18" s="10"/>
      <c r="C18" s="19">
        <f ca="1">+C15</f>
        <v>59796.283357572858</v>
      </c>
      <c r="D18" s="20">
        <f ca="1">+C16</f>
        <v>0.68470501921485338</v>
      </c>
      <c r="E18" s="21" t="s">
        <v>37</v>
      </c>
    </row>
    <row r="19" spans="1:17" ht="13.5" thickTop="1" x14ac:dyDescent="0.2">
      <c r="A19" s="30" t="s">
        <v>44</v>
      </c>
      <c r="E19" s="31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8">
        <v>48699.994500000001</v>
      </c>
      <c r="D21" s="8" t="s">
        <v>14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-4.0683823053106499E-2</v>
      </c>
      <c r="Q21" s="2">
        <f t="shared" ref="Q21:Q27" si="4">+C21-15018.5</f>
        <v>33681.494500000001</v>
      </c>
    </row>
    <row r="22" spans="1:17" x14ac:dyDescent="0.2">
      <c r="A22" s="24" t="s">
        <v>40</v>
      </c>
      <c r="B22" s="25" t="s">
        <v>41</v>
      </c>
      <c r="C22" s="26">
        <v>55460.344700000001</v>
      </c>
      <c r="D22" s="26">
        <v>1.6000000000000001E-3</v>
      </c>
      <c r="E22">
        <f t="shared" si="0"/>
        <v>9873.4485175989503</v>
      </c>
      <c r="F22">
        <f t="shared" si="1"/>
        <v>9873.5</v>
      </c>
      <c r="G22">
        <f t="shared" si="2"/>
        <v>-3.5250000000814907E-2</v>
      </c>
      <c r="I22">
        <f t="shared" ref="I22:I27" si="5">+G22</f>
        <v>-3.5250000000814907E-2</v>
      </c>
      <c r="O22">
        <f t="shared" ca="1" si="3"/>
        <v>8.8733948021277528E-3</v>
      </c>
      <c r="Q22" s="2">
        <f t="shared" si="4"/>
        <v>40441.844700000001</v>
      </c>
    </row>
    <row r="23" spans="1:17" x14ac:dyDescent="0.2">
      <c r="A23" s="32" t="s">
        <v>45</v>
      </c>
      <c r="B23" s="33" t="s">
        <v>41</v>
      </c>
      <c r="C23" s="32">
        <v>56437.475400000003</v>
      </c>
      <c r="D23" s="32">
        <v>2.0000000000000001E-4</v>
      </c>
      <c r="E23">
        <f t="shared" si="0"/>
        <v>11300.541697093622</v>
      </c>
      <c r="F23">
        <f t="shared" si="1"/>
        <v>11300.5</v>
      </c>
      <c r="G23">
        <f t="shared" si="2"/>
        <v>2.8550000002724119E-2</v>
      </c>
      <c r="I23">
        <f t="shared" si="5"/>
        <v>2.8550000002724119E-2</v>
      </c>
      <c r="O23">
        <f t="shared" ca="1" si="3"/>
        <v>1.603581439795692E-2</v>
      </c>
      <c r="Q23" s="2">
        <f t="shared" si="4"/>
        <v>41418.975400000003</v>
      </c>
    </row>
    <row r="24" spans="1:17" x14ac:dyDescent="0.2">
      <c r="A24" s="32" t="s">
        <v>45</v>
      </c>
      <c r="B24" s="33" t="s">
        <v>46</v>
      </c>
      <c r="C24" s="32">
        <v>56440.423999999999</v>
      </c>
      <c r="D24" s="32">
        <v>2.9999999999999997E-4</v>
      </c>
      <c r="E24">
        <f t="shared" si="0"/>
        <v>11304.848108660726</v>
      </c>
      <c r="F24">
        <f t="shared" si="1"/>
        <v>11305</v>
      </c>
      <c r="G24">
        <f t="shared" si="2"/>
        <v>-0.10399999999935972</v>
      </c>
      <c r="I24">
        <f t="shared" si="5"/>
        <v>-0.10399999999935972</v>
      </c>
      <c r="O24">
        <f t="shared" ca="1" si="3"/>
        <v>1.6058400864797304E-2</v>
      </c>
      <c r="Q24" s="2">
        <f t="shared" si="4"/>
        <v>41421.923999999999</v>
      </c>
    </row>
    <row r="25" spans="1:17" x14ac:dyDescent="0.2">
      <c r="A25" s="32" t="s">
        <v>45</v>
      </c>
      <c r="B25" s="33" t="s">
        <v>41</v>
      </c>
      <c r="C25" s="32">
        <v>56443.374000000003</v>
      </c>
      <c r="D25" s="32">
        <v>2.9999999999999997E-4</v>
      </c>
      <c r="E25">
        <f t="shared" si="0"/>
        <v>11309.156564918947</v>
      </c>
      <c r="F25">
        <f t="shared" si="1"/>
        <v>11309</v>
      </c>
      <c r="G25">
        <f t="shared" si="2"/>
        <v>0.10720000000583241</v>
      </c>
      <c r="I25">
        <f t="shared" si="5"/>
        <v>0.10720000000583241</v>
      </c>
      <c r="O25">
        <f t="shared" ca="1" si="3"/>
        <v>1.6078477724210984E-2</v>
      </c>
      <c r="Q25" s="2">
        <f t="shared" si="4"/>
        <v>41424.874000000003</v>
      </c>
    </row>
    <row r="26" spans="1:17" x14ac:dyDescent="0.2">
      <c r="A26" s="32" t="s">
        <v>45</v>
      </c>
      <c r="B26" s="33" t="s">
        <v>41</v>
      </c>
      <c r="C26" s="32">
        <v>56453.483899999999</v>
      </c>
      <c r="D26" s="32">
        <v>4.0000000000000002E-4</v>
      </c>
      <c r="E26">
        <f t="shared" si="0"/>
        <v>11323.922009639256</v>
      </c>
      <c r="F26">
        <f t="shared" si="1"/>
        <v>11324</v>
      </c>
      <c r="G26">
        <f t="shared" si="2"/>
        <v>-5.340000000433065E-2</v>
      </c>
      <c r="I26">
        <f t="shared" si="5"/>
        <v>-5.340000000433065E-2</v>
      </c>
      <c r="O26">
        <f t="shared" ca="1" si="3"/>
        <v>1.6153765947012268E-2</v>
      </c>
      <c r="Q26" s="2">
        <f t="shared" si="4"/>
        <v>41434.983899999999</v>
      </c>
    </row>
    <row r="27" spans="1:17" x14ac:dyDescent="0.2">
      <c r="A27" s="32" t="s">
        <v>45</v>
      </c>
      <c r="B27" s="33" t="s">
        <v>41</v>
      </c>
      <c r="C27" s="32">
        <v>56459.381699999998</v>
      </c>
      <c r="D27" s="32">
        <v>1E-4</v>
      </c>
      <c r="E27">
        <f t="shared" si="0"/>
        <v>11332.535709069662</v>
      </c>
      <c r="F27">
        <f t="shared" si="1"/>
        <v>11332.5</v>
      </c>
      <c r="G27">
        <f t="shared" si="2"/>
        <v>2.4449999997159466E-2</v>
      </c>
      <c r="I27">
        <f t="shared" si="5"/>
        <v>2.4449999997159466E-2</v>
      </c>
      <c r="O27">
        <f t="shared" ca="1" si="3"/>
        <v>1.6196429273266331E-2</v>
      </c>
      <c r="Q27" s="2">
        <f t="shared" si="4"/>
        <v>41440.881699999998</v>
      </c>
    </row>
    <row r="28" spans="1:17" x14ac:dyDescent="0.2">
      <c r="A28" s="36" t="s">
        <v>51</v>
      </c>
      <c r="B28" s="36" t="s">
        <v>41</v>
      </c>
      <c r="C28" s="37">
        <v>59792.557999999997</v>
      </c>
      <c r="D28" s="37">
        <v>0.01</v>
      </c>
      <c r="E28">
        <f t="shared" ref="E28:E29" si="6">+(C28-C$7)/C$8</f>
        <v>16200.618519059437</v>
      </c>
      <c r="F28">
        <f t="shared" ref="F28:F29" si="7">ROUND(2*E28,0)/2</f>
        <v>16200.5</v>
      </c>
      <c r="G28">
        <f t="shared" ref="G28:G29" si="8">+C28-(C$7+F28*C$8)</f>
        <v>8.1149999998160638E-2</v>
      </c>
      <c r="I28">
        <f t="shared" ref="I28:I29" si="9">+G28</f>
        <v>8.1149999998160638E-2</v>
      </c>
      <c r="O28">
        <f t="shared" ref="O28:O29" ca="1" si="10">+C$11+C$12*$F28</f>
        <v>4.0629967179710888E-2</v>
      </c>
      <c r="Q28" s="2">
        <f t="shared" ref="Q28:Q29" si="11">+C28-15018.5</f>
        <v>44774.057999999997</v>
      </c>
    </row>
    <row r="29" spans="1:17" x14ac:dyDescent="0.2">
      <c r="A29" s="36" t="s">
        <v>51</v>
      </c>
      <c r="B29" s="36" t="s">
        <v>46</v>
      </c>
      <c r="C29" s="37">
        <v>59796.324000000001</v>
      </c>
      <c r="D29" s="37">
        <v>0.01</v>
      </c>
      <c r="E29">
        <f t="shared" si="6"/>
        <v>16206.118738133489</v>
      </c>
      <c r="F29">
        <f t="shared" si="7"/>
        <v>16206</v>
      </c>
      <c r="G29">
        <f t="shared" si="8"/>
        <v>8.1299999998009298E-2</v>
      </c>
      <c r="I29">
        <f t="shared" si="9"/>
        <v>8.1299999998009298E-2</v>
      </c>
      <c r="O29">
        <f t="shared" ca="1" si="10"/>
        <v>4.0657572861404701E-2</v>
      </c>
      <c r="Q29" s="2">
        <f t="shared" si="11"/>
        <v>44777.824000000001</v>
      </c>
    </row>
    <row r="30" spans="1:17" x14ac:dyDescent="0.2">
      <c r="C30" s="8"/>
      <c r="D30" s="8"/>
      <c r="Q30" s="2"/>
    </row>
    <row r="31" spans="1:17" x14ac:dyDescent="0.2">
      <c r="C31" s="8"/>
      <c r="D31" s="8"/>
      <c r="Q31" s="2"/>
    </row>
    <row r="32" spans="1:17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E37" sqref="E3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25</v>
      </c>
      <c r="B2" t="s">
        <v>39</v>
      </c>
      <c r="C2" s="35" t="s">
        <v>48</v>
      </c>
      <c r="D2" s="3"/>
    </row>
    <row r="3" spans="1:7" ht="13.5" thickBot="1" x14ac:dyDescent="0.25">
      <c r="C3" s="29" t="s">
        <v>49</v>
      </c>
    </row>
    <row r="4" spans="1:7" ht="13.5" thickBot="1" x14ac:dyDescent="0.25">
      <c r="A4" s="5" t="s">
        <v>0</v>
      </c>
      <c r="C4" s="22">
        <v>48699.994500000001</v>
      </c>
      <c r="D4" s="23">
        <v>0.68469999999999998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v>56459.3829593552</v>
      </c>
      <c r="D7">
        <f>+E3</f>
        <v>0</v>
      </c>
    </row>
    <row r="8" spans="1:7" x14ac:dyDescent="0.2">
      <c r="A8" t="s">
        <v>3</v>
      </c>
      <c r="C8">
        <v>0.49237824875031994</v>
      </c>
    </row>
    <row r="9" spans="1:7" x14ac:dyDescent="0.2">
      <c r="A9" s="9" t="s">
        <v>32</v>
      </c>
      <c r="B9" s="10"/>
      <c r="C9" s="11">
        <v>8</v>
      </c>
      <c r="D9" s="10" t="s">
        <v>33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7">
        <f ca="1">INTERCEPT(INDIRECT($G$11):G992,INDIRECT($F$11):F992)</f>
        <v>-5.7876550972703294E-12</v>
      </c>
      <c r="D11" s="3"/>
      <c r="E11" s="10"/>
      <c r="F11" s="28" t="str">
        <f>"F"&amp;E19</f>
        <v>F21</v>
      </c>
      <c r="G11" s="29" t="str">
        <f>"G"&amp;E19</f>
        <v>G21</v>
      </c>
    </row>
    <row r="12" spans="1:7" x14ac:dyDescent="0.2">
      <c r="A12" s="10" t="s">
        <v>17</v>
      </c>
      <c r="B12" s="10"/>
      <c r="C12" s="27">
        <f ca="1">SLOPE(INDIRECT($G$11):G992,INDIRECT($F$11):F992)</f>
        <v>-2.3073861237337371E-16</v>
      </c>
      <c r="D12" s="3"/>
      <c r="E12" s="10"/>
    </row>
    <row r="13" spans="1:7" x14ac:dyDescent="0.2">
      <c r="A13" s="10" t="s">
        <v>20</v>
      </c>
      <c r="B13" s="10"/>
      <c r="C13" s="3" t="s">
        <v>14</v>
      </c>
      <c r="D13" s="14" t="s">
        <v>42</v>
      </c>
      <c r="E13" s="11">
        <v>1</v>
      </c>
    </row>
    <row r="14" spans="1:7" x14ac:dyDescent="0.2">
      <c r="A14" s="10"/>
      <c r="B14" s="10"/>
      <c r="C14" s="10"/>
      <c r="D14" s="14" t="s">
        <v>34</v>
      </c>
      <c r="E14" s="15">
        <f ca="1">NOW()+15018.5+$C$9/24</f>
        <v>60320.256579398148</v>
      </c>
    </row>
    <row r="15" spans="1:7" x14ac:dyDescent="0.2">
      <c r="A15" s="12" t="s">
        <v>18</v>
      </c>
      <c r="B15" s="10"/>
      <c r="C15" s="13">
        <f ca="1">(C7+C11)+(C8+C12)*INT(MAX(F21:F3533))</f>
        <v>56459.382959355193</v>
      </c>
      <c r="D15" s="14" t="s">
        <v>43</v>
      </c>
      <c r="E15" s="15">
        <f ca="1">ROUND(2*(E14-$C$7)/$C$8,0)/2+E13</f>
        <v>7842.5</v>
      </c>
    </row>
    <row r="16" spans="1:7" x14ac:dyDescent="0.2">
      <c r="A16" s="16" t="s">
        <v>4</v>
      </c>
      <c r="B16" s="10"/>
      <c r="C16" s="17">
        <f ca="1">+C8+C12</f>
        <v>0.49237824875031971</v>
      </c>
      <c r="D16" s="14" t="s">
        <v>35</v>
      </c>
      <c r="E16" s="29">
        <f ca="1">ROUND(2*(E14-$C$15)/$C$16,0)/2+E13</f>
        <v>7842.5</v>
      </c>
    </row>
    <row r="17" spans="1:17" ht="13.5" thickBot="1" x14ac:dyDescent="0.25">
      <c r="A17" s="14" t="s">
        <v>31</v>
      </c>
      <c r="B17" s="10"/>
      <c r="C17" s="10">
        <f>COUNT(C21:C2191)</f>
        <v>7</v>
      </c>
      <c r="D17" s="14" t="s">
        <v>36</v>
      </c>
      <c r="E17" s="18">
        <f ca="1">+$C$15+$C$16*E16-15018.5-$C$9/24</f>
        <v>45302.026041846242</v>
      </c>
    </row>
    <row r="18" spans="1:17" ht="14.25" thickTop="1" thickBot="1" x14ac:dyDescent="0.25">
      <c r="A18" s="16" t="s">
        <v>5</v>
      </c>
      <c r="B18" s="10"/>
      <c r="C18" s="19">
        <f ca="1">+C15</f>
        <v>56459.382959355193</v>
      </c>
      <c r="D18" s="20">
        <f ca="1">+C16</f>
        <v>0.49237824875031971</v>
      </c>
      <c r="E18" s="21" t="s">
        <v>37</v>
      </c>
    </row>
    <row r="19" spans="1:17" ht="13.5" thickTop="1" x14ac:dyDescent="0.2">
      <c r="A19" s="30" t="s">
        <v>44</v>
      </c>
      <c r="E19" s="31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8">
        <v>48699.994500000001</v>
      </c>
      <c r="D21" s="8" t="s">
        <v>14</v>
      </c>
      <c r="E21">
        <f t="shared" ref="E21:E27" si="0">+(C21-C$7)/C$8</f>
        <v>-15758.999263368978</v>
      </c>
      <c r="F21">
        <f t="shared" ref="F21:F27" si="1">ROUND(2*E21,0)/2</f>
        <v>-15759</v>
      </c>
      <c r="G21">
        <f t="shared" ref="G21:G27" si="2">+C21-(C$7+F21*C$8)</f>
        <v>3.6270109558245167E-4</v>
      </c>
      <c r="H21">
        <f>+G21</f>
        <v>3.6270109558245167E-4</v>
      </c>
      <c r="O21">
        <f t="shared" ref="O21:O27" ca="1" si="3">+C$11+C$12*$F21</f>
        <v>-2.151445304878333E-12</v>
      </c>
      <c r="Q21" s="2">
        <f t="shared" ref="Q21:Q27" si="4">+C21-15018.5</f>
        <v>33681.494500000001</v>
      </c>
    </row>
    <row r="22" spans="1:17" x14ac:dyDescent="0.2">
      <c r="A22" s="24" t="s">
        <v>40</v>
      </c>
      <c r="B22" s="25" t="s">
        <v>41</v>
      </c>
      <c r="C22" s="26">
        <v>55460.344700000001</v>
      </c>
      <c r="D22" s="26">
        <v>1.6000000000000001E-3</v>
      </c>
      <c r="E22">
        <f t="shared" si="0"/>
        <v>-2029.0056717387629</v>
      </c>
      <c r="F22">
        <f t="shared" si="1"/>
        <v>-2029</v>
      </c>
      <c r="G22">
        <f t="shared" si="2"/>
        <v>-2.7926408001803793E-3</v>
      </c>
      <c r="I22">
        <f t="shared" ref="I22:I27" si="5">+G22</f>
        <v>-2.7926408001803793E-3</v>
      </c>
      <c r="O22">
        <f t="shared" ca="1" si="3"/>
        <v>-5.3194864527647542E-12</v>
      </c>
      <c r="Q22" s="2">
        <f t="shared" si="4"/>
        <v>40441.844700000001</v>
      </c>
    </row>
    <row r="23" spans="1:17" x14ac:dyDescent="0.2">
      <c r="A23" s="32" t="s">
        <v>45</v>
      </c>
      <c r="B23" s="33" t="s">
        <v>41</v>
      </c>
      <c r="C23" s="32">
        <v>56437.475400000003</v>
      </c>
      <c r="D23" s="32">
        <v>2.0000000000000001E-4</v>
      </c>
      <c r="E23">
        <f t="shared" si="0"/>
        <v>-44.493353251894177</v>
      </c>
      <c r="F23">
        <f t="shared" si="1"/>
        <v>-44.5</v>
      </c>
      <c r="G23">
        <f t="shared" si="2"/>
        <v>3.2727141951909289E-3</v>
      </c>
      <c r="I23">
        <f t="shared" si="5"/>
        <v>3.2727141951909289E-3</v>
      </c>
      <c r="O23">
        <f t="shared" ca="1" si="3"/>
        <v>-5.777387229019714E-12</v>
      </c>
      <c r="Q23" s="2">
        <f t="shared" si="4"/>
        <v>41418.975400000003</v>
      </c>
    </row>
    <row r="24" spans="1:17" x14ac:dyDescent="0.2">
      <c r="A24" s="32" t="s">
        <v>45</v>
      </c>
      <c r="B24" s="33" t="s">
        <v>46</v>
      </c>
      <c r="C24" s="32">
        <v>56440.423999999999</v>
      </c>
      <c r="D24" s="32">
        <v>2.9999999999999997E-4</v>
      </c>
      <c r="E24">
        <f t="shared" si="0"/>
        <v>-38.504867758313246</v>
      </c>
      <c r="F24">
        <f t="shared" si="1"/>
        <v>-38.5</v>
      </c>
      <c r="G24">
        <f t="shared" si="2"/>
        <v>-2.3967783126863651E-3</v>
      </c>
      <c r="I24">
        <f t="shared" si="5"/>
        <v>-2.3967783126863651E-3</v>
      </c>
      <c r="O24">
        <f t="shared" ca="1" si="3"/>
        <v>-5.7787716606939543E-12</v>
      </c>
      <c r="Q24" s="2">
        <f t="shared" si="4"/>
        <v>41421.923999999999</v>
      </c>
    </row>
    <row r="25" spans="1:17" x14ac:dyDescent="0.2">
      <c r="A25" s="32" t="s">
        <v>45</v>
      </c>
      <c r="B25" s="33" t="s">
        <v>41</v>
      </c>
      <c r="C25" s="32">
        <v>56443.374000000003</v>
      </c>
      <c r="D25" s="32">
        <v>2.9999999999999997E-4</v>
      </c>
      <c r="E25">
        <f t="shared" si="0"/>
        <v>-32.513538922216988</v>
      </c>
      <c r="F25">
        <f t="shared" si="1"/>
        <v>-32.5</v>
      </c>
      <c r="G25">
        <f t="shared" si="2"/>
        <v>-6.6662708122748882E-3</v>
      </c>
      <c r="I25">
        <f t="shared" si="5"/>
        <v>-6.6662708122748882E-3</v>
      </c>
      <c r="O25">
        <f t="shared" ca="1" si="3"/>
        <v>-5.7801560923681946E-12</v>
      </c>
      <c r="Q25" s="2">
        <f t="shared" si="4"/>
        <v>41424.874000000003</v>
      </c>
    </row>
    <row r="26" spans="1:17" x14ac:dyDescent="0.2">
      <c r="A26" s="32" t="s">
        <v>45</v>
      </c>
      <c r="B26" s="33" t="s">
        <v>41</v>
      </c>
      <c r="C26" s="32">
        <v>56453.483899999999</v>
      </c>
      <c r="D26" s="32">
        <v>4.0000000000000002E-4</v>
      </c>
      <c r="E26">
        <f t="shared" si="0"/>
        <v>-11.98074726122211</v>
      </c>
      <c r="F26">
        <f t="shared" si="1"/>
        <v>-12</v>
      </c>
      <c r="G26">
        <f t="shared" si="2"/>
        <v>9.4796297998982482E-3</v>
      </c>
      <c r="I26">
        <f t="shared" si="5"/>
        <v>9.4796297998982482E-3</v>
      </c>
      <c r="O26">
        <f t="shared" ca="1" si="3"/>
        <v>-5.7848862339218488E-12</v>
      </c>
      <c r="Q26" s="2">
        <f t="shared" si="4"/>
        <v>41434.983899999999</v>
      </c>
    </row>
    <row r="27" spans="1:17" x14ac:dyDescent="0.2">
      <c r="A27" s="32" t="s">
        <v>45</v>
      </c>
      <c r="B27" s="33" t="s">
        <v>41</v>
      </c>
      <c r="C27" s="32">
        <v>56459.381699999998</v>
      </c>
      <c r="D27" s="32">
        <v>1E-4</v>
      </c>
      <c r="E27">
        <f t="shared" si="0"/>
        <v>-2.5576986901961842E-3</v>
      </c>
      <c r="F27">
        <f t="shared" si="1"/>
        <v>0</v>
      </c>
      <c r="G27">
        <f t="shared" si="2"/>
        <v>-1.2593552019097842E-3</v>
      </c>
      <c r="I27">
        <f t="shared" si="5"/>
        <v>-1.2593552019097842E-3</v>
      </c>
      <c r="O27">
        <f t="shared" ca="1" si="3"/>
        <v>-5.7876550972703294E-12</v>
      </c>
      <c r="Q27" s="2">
        <f t="shared" si="4"/>
        <v>41440.881699999998</v>
      </c>
    </row>
    <row r="28" spans="1:17" x14ac:dyDescent="0.2">
      <c r="C28" s="8"/>
      <c r="D28" s="8"/>
      <c r="Q28" s="2"/>
    </row>
    <row r="29" spans="1:17" x14ac:dyDescent="0.2">
      <c r="C29" s="8"/>
      <c r="D29" s="8"/>
      <c r="Q29" s="2"/>
    </row>
    <row r="30" spans="1:17" x14ac:dyDescent="0.2">
      <c r="C30" s="8"/>
      <c r="D30" s="8"/>
      <c r="Q30" s="2"/>
    </row>
    <row r="31" spans="1:17" x14ac:dyDescent="0.2">
      <c r="C31" s="8"/>
      <c r="D31" s="8"/>
      <c r="Q31" s="2"/>
    </row>
    <row r="32" spans="1:17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Inactive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2024-01-09T23:39:28Z</dcterms:modified>
</cp:coreProperties>
</file>