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83148C-C6FD-4A82-A73B-BE9E6E387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31" i="1" l="1"/>
  <c r="U31" i="1" s="1"/>
  <c r="Q31" i="1"/>
  <c r="D9" i="1"/>
  <c r="C9" i="1"/>
  <c r="Q22" i="1"/>
  <c r="Q26" i="1"/>
  <c r="Q27" i="1"/>
  <c r="Q28" i="1"/>
  <c r="G11" i="2"/>
  <c r="C11" i="2"/>
  <c r="G12" i="2"/>
  <c r="C12" i="2"/>
  <c r="E12" i="2"/>
  <c r="G13" i="2"/>
  <c r="C13" i="2"/>
  <c r="G17" i="2"/>
  <c r="C17" i="2"/>
  <c r="G18" i="2"/>
  <c r="C18" i="2"/>
  <c r="G19" i="2"/>
  <c r="C19" i="2"/>
  <c r="G14" i="2"/>
  <c r="C14" i="2"/>
  <c r="G15" i="2"/>
  <c r="C15" i="2"/>
  <c r="G16" i="2"/>
  <c r="C16" i="2"/>
  <c r="H15" i="2"/>
  <c r="D15" i="2"/>
  <c r="B15" i="2"/>
  <c r="A15" i="2"/>
  <c r="H14" i="2"/>
  <c r="B14" i="2"/>
  <c r="D14" i="2"/>
  <c r="A14" i="2"/>
  <c r="H19" i="2"/>
  <c r="D19" i="2"/>
  <c r="B19" i="2"/>
  <c r="A19" i="2"/>
  <c r="H18" i="2"/>
  <c r="B18" i="2"/>
  <c r="D18" i="2"/>
  <c r="A18" i="2"/>
  <c r="H17" i="2"/>
  <c r="D17" i="2"/>
  <c r="B17" i="2"/>
  <c r="A17" i="2"/>
  <c r="H13" i="2"/>
  <c r="B13" i="2"/>
  <c r="D13" i="2"/>
  <c r="A13" i="2"/>
  <c r="H12" i="2"/>
  <c r="D12" i="2"/>
  <c r="B12" i="2"/>
  <c r="A12" i="2"/>
  <c r="H11" i="2"/>
  <c r="B11" i="2"/>
  <c r="D11" i="2"/>
  <c r="A11" i="2"/>
  <c r="H16" i="2"/>
  <c r="D16" i="2"/>
  <c r="B16" i="2"/>
  <c r="A16" i="2"/>
  <c r="F16" i="1"/>
  <c r="F17" i="1" s="1"/>
  <c r="E24" i="1"/>
  <c r="F24" i="1" s="1"/>
  <c r="G24" i="1" s="1"/>
  <c r="J24" i="1" s="1"/>
  <c r="Q30" i="1"/>
  <c r="Q29" i="1"/>
  <c r="Q24" i="1"/>
  <c r="H21" i="1"/>
  <c r="Q25" i="1"/>
  <c r="Q23" i="1"/>
  <c r="R22" i="1"/>
  <c r="C17" i="1"/>
  <c r="Q21" i="1"/>
  <c r="E19" i="2"/>
  <c r="E15" i="2"/>
  <c r="E18" i="2"/>
  <c r="G23" i="1"/>
  <c r="I23" i="1" s="1"/>
  <c r="E21" i="1"/>
  <c r="F21" i="1" s="1"/>
  <c r="E27" i="1"/>
  <c r="F27" i="1"/>
  <c r="E23" i="1"/>
  <c r="E11" i="2" s="1"/>
  <c r="F23" i="1"/>
  <c r="E30" i="1"/>
  <c r="F30" i="1" s="1"/>
  <c r="G30" i="1" s="1"/>
  <c r="H30" i="1" s="1"/>
  <c r="E26" i="1"/>
  <c r="F26" i="1"/>
  <c r="G26" i="1"/>
  <c r="H26" i="1"/>
  <c r="E22" i="1"/>
  <c r="F22" i="1" s="1"/>
  <c r="G22" i="1" s="1"/>
  <c r="H22" i="1" s="1"/>
  <c r="E29" i="1"/>
  <c r="E14" i="2" s="1"/>
  <c r="F29" i="1"/>
  <c r="G29" i="1" s="1"/>
  <c r="H29" i="1" s="1"/>
  <c r="E25" i="1"/>
  <c r="E13" i="2" s="1"/>
  <c r="F25" i="1"/>
  <c r="G25" i="1" s="1"/>
  <c r="H25" i="1" s="1"/>
  <c r="E31" i="1"/>
  <c r="G27" i="1"/>
  <c r="H27" i="1" s="1"/>
  <c r="E28" i="1"/>
  <c r="F28" i="1" s="1"/>
  <c r="G28" i="1" s="1"/>
  <c r="H28" i="1" s="1"/>
  <c r="E17" i="2"/>
  <c r="E16" i="2"/>
  <c r="G31" i="1" l="1"/>
  <c r="C12" i="1"/>
  <c r="C11" i="1"/>
  <c r="O31" i="1" l="1"/>
  <c r="O25" i="1"/>
  <c r="O29" i="1"/>
  <c r="O24" i="1"/>
  <c r="O28" i="1"/>
  <c r="O21" i="1"/>
  <c r="O27" i="1"/>
  <c r="O22" i="1"/>
  <c r="O30" i="1"/>
  <c r="O23" i="1"/>
  <c r="O26" i="1"/>
  <c r="C15" i="1"/>
  <c r="C18" i="1" s="1"/>
  <c r="C16" i="1"/>
  <c r="D18" i="1" s="1"/>
  <c r="H31" i="1"/>
  <c r="F18" i="1" l="1"/>
  <c r="F19" i="1" s="1"/>
</calcChain>
</file>

<file path=xl/sharedStrings.xml><?xml version="1.0" encoding="utf-8"?>
<sst xmlns="http://schemas.openxmlformats.org/spreadsheetml/2006/main" count="158" uniqueCount="111">
  <si>
    <t>IBVS 6244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</si>
  <si>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</si>
  <si>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</si>
  <si>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</si>
  <si>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</si>
  <si>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</si>
  <si>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</si>
  <si>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</si>
  <si>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</si>
  <si>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</si>
  <si>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</si>
  <si>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</si>
  <si>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</si>
  <si>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</si>
  <si>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</si>
  <si>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</si>
  <si>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</si>
  <si>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</si>
  <si>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</si>
  <si>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</si>
  <si>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</si>
  <si>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</si>
  <si>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</si>
  <si>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</si>
  <si>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</si>
  <si>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</si>
  <si>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</si>
  <si>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</si>
  <si>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</si>
  <si>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</si>
  <si>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</si>
  <si>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</si>
  <si>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</si>
  <si>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</si>
  <si>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</si>
  <si>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</si>
  <si>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</si>
  <si>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</si>
  <si>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</si>
  <si>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>Nelson</t>
  </si>
  <si>
    <t>IBVS 5875</t>
  </si>
  <si>
    <t>IBVS 5871</t>
  </si>
  <si>
    <t>II</t>
  </si>
  <si>
    <t>OEJV0094</t>
  </si>
  <si>
    <t>I</t>
  </si>
  <si>
    <t>OEJV</t>
  </si>
  <si>
    <t>IBVS 6070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</si>
  <si>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</si>
  <si>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</si>
  <si>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</si>
  <si>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</si>
  <si>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</si>
  <si>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</si>
  <si>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</si>
  <si>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</si>
  <si>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</si>
  <si>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</si>
  <si>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</si>
  <si>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</si>
  <si>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</si>
  <si>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</si>
  <si>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2454134.9217 </t>
  </si>
  <si>
    <t> 03.02.2007 10:07 </t>
  </si>
  <si>
    <t> -0.0929 </t>
  </si>
  <si>
    <t>C </t>
  </si>
  <si>
    <t>Ic</t>
  </si>
  <si>
    <t> K.Nakajima </t>
  </si>
  <si>
    <t>VSB 46 </t>
  </si>
  <si>
    <t>2454722.6977 </t>
  </si>
  <si>
    <t> 13.09.2008 04:44 </t>
  </si>
  <si>
    <t> -0.0213 </t>
  </si>
  <si>
    <t>o</t>
  </si>
  <si>
    <t> R.Nelson </t>
  </si>
  <si>
    <t> ISBV 5875 </t>
  </si>
  <si>
    <t>2454737.49184 </t>
  </si>
  <si>
    <t> 27.09.2008 23:48 </t>
  </si>
  <si>
    <t> -0.01956 </t>
  </si>
  <si>
    <t> L.Urbancok </t>
  </si>
  <si>
    <t>OEJV 094 </t>
  </si>
  <si>
    <t>2454768.7252 </t>
  </si>
  <si>
    <t> 29.10.2008 05:24 </t>
  </si>
  <si>
    <t> -0.0146 </t>
  </si>
  <si>
    <t> R.Diethelm </t>
  </si>
  <si>
    <t> ISBV 5871 </t>
  </si>
  <si>
    <t>2455154.3104 </t>
  </si>
  <si>
    <t> 18.11.2009 19:26 </t>
  </si>
  <si>
    <t> 0.0290 </t>
  </si>
  <si>
    <t>-I</t>
  </si>
  <si>
    <t> F.Agerer </t>
  </si>
  <si>
    <t>BAVM 212 </t>
  </si>
  <si>
    <t>2455154.5444 </t>
  </si>
  <si>
    <t> 19.11.2009 01:03 </t>
  </si>
  <si>
    <t>4735</t>
  </si>
  <si>
    <t> 0.0282 </t>
  </si>
  <si>
    <t>2455866.3051 </t>
  </si>
  <si>
    <t> 31.10.2011 19:19 </t>
  </si>
  <si>
    <t>6250.5</t>
  </si>
  <si>
    <t> 0.1101 </t>
  </si>
  <si>
    <t> W.Moschner &amp; P.Frank </t>
  </si>
  <si>
    <t>BAVM 225 </t>
  </si>
  <si>
    <t>2456220.4252 </t>
  </si>
  <si>
    <t> 19.10.2012 22:12 </t>
  </si>
  <si>
    <t>7004.5</t>
  </si>
  <si>
    <t> 0.1518 </t>
  </si>
  <si>
    <t>BAVM 231 </t>
  </si>
  <si>
    <t>2456949.3302 </t>
  </si>
  <si>
    <t> 18.10.2014 19:55 </t>
  </si>
  <si>
    <t>8556.5</t>
  </si>
  <si>
    <t> 0.2376 </t>
  </si>
  <si>
    <t>BAVM 239 </t>
  </si>
  <si>
    <t xml:space="preserve">V0441 And / GSC 2806-1699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</si>
</sst>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8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And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-1.0872631246456876E-3</c:v>
                </c:pt>
                <c:pt idx="4">
                  <c:v>1.9401363460929133E-3</c:v>
                </c:pt>
                <c:pt idx="5">
                  <c:v>-2.5371696392539889E-4</c:v>
                </c:pt>
                <c:pt idx="6">
                  <c:v>-1.081606031220872E-3</c:v>
                </c:pt>
                <c:pt idx="7">
                  <c:v>-3.7133778823772445E-3</c:v>
                </c:pt>
                <c:pt idx="8">
                  <c:v>-4.0700957761146128E-3</c:v>
                </c:pt>
                <c:pt idx="9">
                  <c:v>-4.8377697530668229E-3</c:v>
                </c:pt>
                <c:pt idx="10">
                  <c:v>4.5646508006029762E-3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3-4E42-82F9-481867CEFF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7.0639410841977224E-4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3-4E42-82F9-481867CEFF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6.8938268668716773E-4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3-4E42-82F9-481867CEFF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3-4E42-82F9-481867CEFF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3-4E42-82F9-481867CEFF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3-4E42-82F9-481867CEFF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03-4E42-82F9-481867CEFF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-7.1432655764902043E-4</c:v>
                </c:pt>
                <c:pt idx="1">
                  <c:v>-7.1432655824480871E-4</c:v>
                </c:pt>
                <c:pt idx="2">
                  <c:v>-7.143265585356724E-4</c:v>
                </c:pt>
                <c:pt idx="3">
                  <c:v>-7.1432655854299337E-4</c:v>
                </c:pt>
                <c:pt idx="4">
                  <c:v>-7.1432655855844878E-4</c:v>
                </c:pt>
                <c:pt idx="5">
                  <c:v>-7.1432655874925904E-4</c:v>
                </c:pt>
                <c:pt idx="6">
                  <c:v>-7.1432655874937526E-4</c:v>
                </c:pt>
                <c:pt idx="7">
                  <c:v>-7.1432655910159569E-4</c:v>
                </c:pt>
                <c:pt idx="8">
                  <c:v>-7.1432655927683431E-4</c:v>
                </c:pt>
                <c:pt idx="9">
                  <c:v>-7.1432655963753785E-4</c:v>
                </c:pt>
                <c:pt idx="10">
                  <c:v>-7.1432656015128467E-4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03-4E42-82F9-481867CEFF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4.5646508006029762E-3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03-4E42-82F9-481867CE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152072"/>
        <c:axId val="1"/>
      </c:scatterChart>
      <c:valAx>
        <c:axId val="67115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15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68199695758749"/>
          <c:y val="0.92419947506561673"/>
          <c:w val="0.779280382744949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18</xdr:col>
      <xdr:colOff>123824</xdr:colOff>
      <xdr:row>18</xdr:row>
      <xdr:rowOff>123825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03FB357C-864A-52C5-16DA-8BFB94448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94.pdf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110</v>
      </c>
    </row>
    <row r="2" spans="1:6" x14ac:dyDescent="0.2">
      <c r="A2" t="s">
        <v>24</v>
      </c>
      <c r="B2" t="s">
        <v>36</v>
      </c>
      <c r="C2" s="2"/>
      <c r="D2" s="2"/>
    </row>
    <row r="3" spans="1:6" ht="13.5" thickBot="1" x14ac:dyDescent="0.25"/>
    <row r="4" spans="1:6" ht="14.25" thickTop="1" thickBot="1" x14ac:dyDescent="0.25">
      <c r="A4" s="28" t="s">
        <v>37</v>
      </c>
      <c r="C4" s="7">
        <v>52930.960200000089</v>
      </c>
      <c r="D4" s="8">
        <v>0.46960000000000002</v>
      </c>
    </row>
    <row r="5" spans="1:6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6" x14ac:dyDescent="0.2">
      <c r="A6" s="4" t="s">
        <v>2</v>
      </c>
    </row>
    <row r="7" spans="1:6" x14ac:dyDescent="0.2">
      <c r="A7" t="s">
        <v>3</v>
      </c>
      <c r="C7">
        <v>52930.960200000089</v>
      </c>
    </row>
    <row r="8" spans="1:6" x14ac:dyDescent="0.2">
      <c r="A8" t="s">
        <v>4</v>
      </c>
      <c r="C8">
        <v>0.46965577814044646</v>
      </c>
    </row>
    <row r="9" spans="1:6" x14ac:dyDescent="0.2">
      <c r="A9" s="25" t="s">
        <v>35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-7.1432655764902043E-4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-2.3241203953738839E-16</v>
      </c>
      <c r="D12" s="2"/>
      <c r="E12" s="11"/>
    </row>
    <row r="13" spans="1:6" x14ac:dyDescent="0.2">
      <c r="A13" s="11" t="s">
        <v>19</v>
      </c>
      <c r="B13" s="11"/>
      <c r="C13" s="2" t="s">
        <v>14</v>
      </c>
      <c r="D13" s="2"/>
      <c r="E13" s="11"/>
    </row>
    <row r="14" spans="1:6" x14ac:dyDescent="0.2">
      <c r="A14" s="11"/>
      <c r="B14" s="11"/>
      <c r="C14" s="11"/>
      <c r="D14" s="11"/>
      <c r="E14" s="11"/>
    </row>
    <row r="15" spans="1:6" x14ac:dyDescent="0.2">
      <c r="A15" s="13" t="s">
        <v>18</v>
      </c>
      <c r="B15" s="11"/>
      <c r="C15" s="14">
        <f ca="1">(C7+C11)+(C8+C12)*INT(MAX(F21:F3533))</f>
        <v>57987.27359313357</v>
      </c>
      <c r="D15" s="15" t="s">
        <v>32</v>
      </c>
      <c r="E15" s="15" t="s">
        <v>48</v>
      </c>
      <c r="F15" s="12">
        <v>1</v>
      </c>
    </row>
    <row r="16" spans="1:6" x14ac:dyDescent="0.2">
      <c r="A16" s="17" t="s">
        <v>5</v>
      </c>
      <c r="B16" s="11"/>
      <c r="C16" s="18">
        <f ca="1">+C8+C12</f>
        <v>0.46965577814044623</v>
      </c>
      <c r="D16" s="15" t="s">
        <v>33</v>
      </c>
      <c r="E16" s="15" t="s">
        <v>32</v>
      </c>
      <c r="F16" s="16">
        <f ca="1">NOW()+15018.5+$C$5/24</f>
        <v>60319.531423958331</v>
      </c>
    </row>
    <row r="17" spans="1:21" ht="13.5" thickBot="1" x14ac:dyDescent="0.25">
      <c r="A17" s="15" t="s">
        <v>29</v>
      </c>
      <c r="B17" s="11"/>
      <c r="C17" s="11">
        <f>COUNT(C21:C2191)</f>
        <v>11</v>
      </c>
      <c r="D17" s="15" t="s">
        <v>34</v>
      </c>
      <c r="E17" s="15" t="s">
        <v>49</v>
      </c>
      <c r="F17" s="16">
        <f ca="1">ROUND(2*(F16-$C$7)/$C$8,0)/2+F15</f>
        <v>15733</v>
      </c>
    </row>
    <row r="18" spans="1:21" ht="14.25" thickTop="1" thickBot="1" x14ac:dyDescent="0.25">
      <c r="A18" s="17" t="s">
        <v>6</v>
      </c>
      <c r="B18" s="11"/>
      <c r="C18" s="20">
        <f ca="1">+C15</f>
        <v>57987.27359313357</v>
      </c>
      <c r="D18" s="21">
        <f ca="1">+C16</f>
        <v>0.46965577814044623</v>
      </c>
      <c r="E18" s="15" t="s">
        <v>33</v>
      </c>
      <c r="F18" s="24">
        <f ca="1">ROUND(2*(F16-$C$15)/$C$16,0)/2+F15</f>
        <v>4967</v>
      </c>
    </row>
    <row r="19" spans="1:21" ht="13.5" thickTop="1" x14ac:dyDescent="0.2">
      <c r="E19" s="15" t="s">
        <v>34</v>
      </c>
      <c r="F19" s="19">
        <f ca="1">+$C$15+$C$16*F18-15018.5-$C$5/24</f>
        <v>45301.949676490505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39</v>
      </c>
      <c r="J20" s="6" t="s">
        <v>45</v>
      </c>
      <c r="K20" s="6" t="s">
        <v>52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57" t="s">
        <v>1</v>
      </c>
    </row>
    <row r="21" spans="1:21" x14ac:dyDescent="0.2">
      <c r="A21" s="29" t="s">
        <v>38</v>
      </c>
      <c r="C21" s="9">
        <v>52930.960200000089</v>
      </c>
      <c r="D21" s="9" t="s">
        <v>14</v>
      </c>
      <c r="E21">
        <f t="shared" ref="E21:E30" si="0">+(C21-C$7)/C$8</f>
        <v>0</v>
      </c>
      <c r="F21">
        <f>ROUND(2*E21,0)/2</f>
        <v>0</v>
      </c>
      <c r="H21">
        <f>+G21</f>
        <v>0</v>
      </c>
      <c r="O21">
        <f t="shared" ref="O21:O30" ca="1" si="1">+C$11+C$12*$F21</f>
        <v>-7.1432655764902043E-4</v>
      </c>
      <c r="Q21" s="1">
        <f t="shared" ref="Q21:Q30" si="2">+C21-15018.5</f>
        <v>37912.460200000089</v>
      </c>
    </row>
    <row r="22" spans="1:21" x14ac:dyDescent="0.2">
      <c r="A22" s="48" t="s">
        <v>67</v>
      </c>
      <c r="B22" s="34" t="s">
        <v>44</v>
      </c>
      <c r="C22" s="33">
        <v>54134.921699999999</v>
      </c>
      <c r="D22" s="33" t="s">
        <v>60</v>
      </c>
      <c r="E22">
        <f t="shared" si="0"/>
        <v>2563.4976849787126</v>
      </c>
      <c r="F22">
        <f t="shared" ref="F22:F31" si="3">ROUND(2*E22,0)/2</f>
        <v>2563.5</v>
      </c>
      <c r="G22">
        <f t="shared" ref="G22:G30" si="4">+C22-(C$7+F22*C$8)</f>
        <v>-1.0872631246456876E-3</v>
      </c>
      <c r="H22">
        <f>+G22</f>
        <v>-1.0872631246456876E-3</v>
      </c>
      <c r="O22">
        <f t="shared" ca="1" si="1"/>
        <v>-7.1432655824480871E-4</v>
      </c>
      <c r="Q22" s="1">
        <f t="shared" si="2"/>
        <v>39116.421699999999</v>
      </c>
      <c r="R22" t="str">
        <f>IF(ABS(C22-C21)&lt;0.00001,1,"")</f>
        <v/>
      </c>
    </row>
    <row r="23" spans="1:21" x14ac:dyDescent="0.2">
      <c r="A23" s="4" t="s">
        <v>40</v>
      </c>
      <c r="C23" s="9">
        <v>54722.697699999997</v>
      </c>
      <c r="D23" s="9">
        <v>5.0000000000000001E-4</v>
      </c>
      <c r="E23">
        <f t="shared" si="0"/>
        <v>3815.0015040677408</v>
      </c>
      <c r="F23">
        <f t="shared" si="3"/>
        <v>3815</v>
      </c>
      <c r="G23">
        <f t="shared" si="4"/>
        <v>7.0639410841977224E-4</v>
      </c>
      <c r="I23">
        <f>+G23</f>
        <v>7.0639410841977224E-4</v>
      </c>
      <c r="O23">
        <f t="shared" ca="1" si="1"/>
        <v>-7.143265585356724E-4</v>
      </c>
      <c r="Q23" s="1">
        <f t="shared" si="2"/>
        <v>39704.197699999997</v>
      </c>
    </row>
    <row r="24" spans="1:21" x14ac:dyDescent="0.2">
      <c r="A24" s="32" t="s">
        <v>43</v>
      </c>
      <c r="B24" s="31" t="s">
        <v>44</v>
      </c>
      <c r="C24" s="30">
        <v>54737.491840000002</v>
      </c>
      <c r="D24" s="30">
        <v>2.0000000000000001E-4</v>
      </c>
      <c r="E24">
        <f t="shared" si="0"/>
        <v>3846.5014678467051</v>
      </c>
      <c r="F24">
        <f t="shared" si="3"/>
        <v>3846.5</v>
      </c>
      <c r="G24">
        <f t="shared" si="4"/>
        <v>6.8938268668716773E-4</v>
      </c>
      <c r="J24">
        <f>+G24</f>
        <v>6.8938268668716773E-4</v>
      </c>
      <c r="O24">
        <f t="shared" ca="1" si="1"/>
        <v>-7.1432655854299337E-4</v>
      </c>
      <c r="Q24" s="1">
        <f t="shared" si="2"/>
        <v>39718.991840000002</v>
      </c>
    </row>
    <row r="25" spans="1:21" x14ac:dyDescent="0.2">
      <c r="A25" s="30" t="s">
        <v>41</v>
      </c>
      <c r="B25" s="31" t="s">
        <v>42</v>
      </c>
      <c r="C25" s="30">
        <v>54768.725200000001</v>
      </c>
      <c r="D25" s="30">
        <v>4.0000000000000002E-4</v>
      </c>
      <c r="E25">
        <f t="shared" si="0"/>
        <v>3913.0041309751427</v>
      </c>
      <c r="F25">
        <f t="shared" si="3"/>
        <v>3913</v>
      </c>
      <c r="G25">
        <f t="shared" si="4"/>
        <v>1.9401363460929133E-3</v>
      </c>
      <c r="H25">
        <f t="shared" ref="H25:H30" si="5">+G25</f>
        <v>1.9401363460929133E-3</v>
      </c>
      <c r="O25">
        <f t="shared" ca="1" si="1"/>
        <v>-7.1432655855844878E-4</v>
      </c>
      <c r="Q25" s="1">
        <f t="shared" si="2"/>
        <v>39750.225200000001</v>
      </c>
    </row>
    <row r="26" spans="1:21" x14ac:dyDescent="0.2">
      <c r="A26" s="49" t="s">
        <v>89</v>
      </c>
      <c r="B26" s="2" t="s">
        <v>42</v>
      </c>
      <c r="C26" s="9">
        <v>55154.310400000002</v>
      </c>
      <c r="D26" s="9" t="s">
        <v>60</v>
      </c>
      <c r="E26">
        <f t="shared" si="0"/>
        <v>4733.999459781031</v>
      </c>
      <c r="F26">
        <f t="shared" si="3"/>
        <v>4734</v>
      </c>
      <c r="G26">
        <f t="shared" si="4"/>
        <v>-2.5371696392539889E-4</v>
      </c>
      <c r="H26">
        <f t="shared" si="5"/>
        <v>-2.5371696392539889E-4</v>
      </c>
      <c r="O26">
        <f t="shared" ca="1" si="1"/>
        <v>-7.1432655874925904E-4</v>
      </c>
      <c r="Q26" s="1">
        <f t="shared" si="2"/>
        <v>40135.810400000002</v>
      </c>
    </row>
    <row r="27" spans="1:21" x14ac:dyDescent="0.2">
      <c r="A27" s="49" t="s">
        <v>89</v>
      </c>
      <c r="B27" s="2" t="s">
        <v>44</v>
      </c>
      <c r="C27" s="9">
        <v>55154.544399999999</v>
      </c>
      <c r="D27" s="9" t="s">
        <v>60</v>
      </c>
      <c r="E27">
        <f t="shared" si="0"/>
        <v>4734.4976970238977</v>
      </c>
      <c r="F27">
        <f t="shared" si="3"/>
        <v>4734.5</v>
      </c>
      <c r="G27">
        <f t="shared" si="4"/>
        <v>-1.081606031220872E-3</v>
      </c>
      <c r="H27">
        <f t="shared" si="5"/>
        <v>-1.081606031220872E-3</v>
      </c>
      <c r="O27">
        <f t="shared" ca="1" si="1"/>
        <v>-7.1432655874937526E-4</v>
      </c>
      <c r="Q27" s="1">
        <f t="shared" si="2"/>
        <v>40136.044399999999</v>
      </c>
    </row>
    <row r="28" spans="1:21" x14ac:dyDescent="0.2">
      <c r="A28" s="49" t="s">
        <v>99</v>
      </c>
      <c r="B28" s="2" t="s">
        <v>42</v>
      </c>
      <c r="C28" s="9">
        <v>55866.305099999998</v>
      </c>
      <c r="D28" s="9" t="s">
        <v>60</v>
      </c>
      <c r="E28">
        <f t="shared" si="0"/>
        <v>6249.9920934053107</v>
      </c>
      <c r="F28">
        <f t="shared" si="3"/>
        <v>6250</v>
      </c>
      <c r="G28">
        <f t="shared" si="4"/>
        <v>-3.7133778823772445E-3</v>
      </c>
      <c r="H28">
        <f t="shared" si="5"/>
        <v>-3.7133778823772445E-3</v>
      </c>
      <c r="O28">
        <f t="shared" ca="1" si="1"/>
        <v>-7.1432655910159569E-4</v>
      </c>
      <c r="Q28" s="1">
        <f t="shared" si="2"/>
        <v>40847.805099999998</v>
      </c>
    </row>
    <row r="29" spans="1:21" x14ac:dyDescent="0.2">
      <c r="A29" s="50" t="s">
        <v>46</v>
      </c>
      <c r="B29" s="51" t="s">
        <v>44</v>
      </c>
      <c r="C29" s="52">
        <v>56220.425199999998</v>
      </c>
      <c r="D29" s="52">
        <v>1E-3</v>
      </c>
      <c r="E29">
        <f t="shared" si="0"/>
        <v>7003.9913338747929</v>
      </c>
      <c r="F29">
        <f t="shared" si="3"/>
        <v>7004</v>
      </c>
      <c r="G29">
        <f t="shared" si="4"/>
        <v>-4.0700957761146128E-3</v>
      </c>
      <c r="H29">
        <f t="shared" si="5"/>
        <v>-4.0700957761146128E-3</v>
      </c>
      <c r="O29">
        <f t="shared" ca="1" si="1"/>
        <v>-7.1432655927683431E-4</v>
      </c>
      <c r="Q29" s="1">
        <f t="shared" si="2"/>
        <v>41201.925199999998</v>
      </c>
    </row>
    <row r="30" spans="1:21" x14ac:dyDescent="0.2">
      <c r="A30" s="53" t="s">
        <v>47</v>
      </c>
      <c r="B30" s="51"/>
      <c r="C30" s="53">
        <v>56949.330199999997</v>
      </c>
      <c r="D30" s="53">
        <v>1E-4</v>
      </c>
      <c r="E30">
        <f t="shared" si="0"/>
        <v>8555.9896993287912</v>
      </c>
      <c r="F30">
        <f t="shared" si="3"/>
        <v>8556</v>
      </c>
      <c r="G30">
        <f t="shared" si="4"/>
        <v>-4.8377697530668229E-3</v>
      </c>
      <c r="H30">
        <f t="shared" si="5"/>
        <v>-4.8377697530668229E-3</v>
      </c>
      <c r="O30">
        <f t="shared" ca="1" si="1"/>
        <v>-7.1432655963753785E-4</v>
      </c>
      <c r="Q30" s="1">
        <f t="shared" si="2"/>
        <v>41930.830199999997</v>
      </c>
    </row>
    <row r="31" spans="1:21" x14ac:dyDescent="0.2">
      <c r="A31" s="54" t="s">
        <v>0</v>
      </c>
      <c r="B31" s="55" t="s">
        <v>44</v>
      </c>
      <c r="C31" s="56">
        <v>57987.513700000003</v>
      </c>
      <c r="D31" s="56">
        <v>3.0999999999999999E-3</v>
      </c>
      <c r="E31">
        <f>+(C31-C$7)/C$8</f>
        <v>10766.509719141146</v>
      </c>
      <c r="F31">
        <f t="shared" ref="F31" si="6">ROUND(2*E31,0)/2</f>
        <v>10766.5</v>
      </c>
      <c r="G31">
        <f t="shared" ref="G31" si="7">+C31-(C$7+F31*C$8)</f>
        <v>4.5646508006029762E-3</v>
      </c>
      <c r="H31">
        <f t="shared" ref="H31" si="8">+G31</f>
        <v>4.5646508006029762E-3</v>
      </c>
      <c r="O31">
        <f t="shared" ref="O31" ca="1" si="9">+C$11+C$12*$F31</f>
        <v>-7.1432656015128467E-4</v>
      </c>
      <c r="Q31" s="1">
        <f t="shared" ref="Q31" si="10">+C31-15018.5</f>
        <v>42969.013700000003</v>
      </c>
      <c r="U31">
        <f>+C31-(C$7+F31*C$8)</f>
        <v>4.5646508006029762E-3</v>
      </c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64889" r:id="rId1" display="http://vsolj.cetus-net.org/bulletin.html" xr:uid="{00000000-0004-0000-0000-000000000000}"/>
    <hyperlink ref="H64882" r:id="rId2" display="https://www.aavso.org/ejaavso" xr:uid="{00000000-0004-0000-0000-000001000000}"/>
    <hyperlink ref="AP1740" r:id="rId3" display="http://cdsbib.u-strasbg.fr/cgi-bin/cdsbib?1990RMxAA..21..381G" xr:uid="{00000000-0004-0000-0000-000002000000}"/>
    <hyperlink ref="AP1737" r:id="rId4" display="http://cdsbib.u-strasbg.fr/cgi-bin/cdsbib?1990RMxAA..21..381G" xr:uid="{00000000-0004-0000-0000-000003000000}"/>
    <hyperlink ref="AP1739" r:id="rId5" display="http://cdsbib.u-strasbg.fr/cgi-bin/cdsbib?1990RMxAA..21..381G" xr:uid="{00000000-0004-0000-0000-000004000000}"/>
    <hyperlink ref="AP1715" r:id="rId6" display="http://cdsbib.u-strasbg.fr/cgi-bin/cdsbib?1990RMxAA..21..381G" xr:uid="{00000000-0004-0000-0000-000005000000}"/>
    <hyperlink ref="I64889" r:id="rId7" display="http://vsolj.cetus-net.org/bulletin.html" xr:uid="{00000000-0004-0000-0000-000006000000}"/>
    <hyperlink ref="AQ1876" r:id="rId8" display="http://cdsbib.u-strasbg.fr/cgi-bin/cdsbib?1990RMxAA..21..381G" xr:uid="{00000000-0004-0000-0000-000007000000}"/>
    <hyperlink ref="AQ3520" r:id="rId9" display="http://cdsbib.u-strasbg.fr/cgi-bin/cdsbib?1990RMxAA..21..381G" xr:uid="{00000000-0004-0000-0000-000008000000}"/>
    <hyperlink ref="AQ1877" r:id="rId10" display="http://cdsbib.u-strasbg.fr/cgi-bin/cdsbib?1990RMxAA..21..381G" xr:uid="{00000000-0004-0000-0000-000009000000}"/>
    <hyperlink ref="H64886" r:id="rId11" display="https://www.aavso.org/ejaavso" xr:uid="{00000000-0004-0000-0000-00000A000000}"/>
    <hyperlink ref="H2727" r:id="rId12" display="http://vsolj.cetus-net.org/bulletin.html" xr:uid="{00000000-0004-0000-0000-00000B000000}"/>
    <hyperlink ref="AP5965" r:id="rId13" display="http://cdsbib.u-strasbg.fr/cgi-bin/cdsbib?1990RMxAA..21..381G" xr:uid="{00000000-0004-0000-0000-00000C000000}"/>
    <hyperlink ref="AP5968" r:id="rId14" display="http://cdsbib.u-strasbg.fr/cgi-bin/cdsbib?1990RMxAA..21..381G" xr:uid="{00000000-0004-0000-0000-00000D000000}"/>
    <hyperlink ref="AP5966" r:id="rId15" display="http://cdsbib.u-strasbg.fr/cgi-bin/cdsbib?1990RMxAA..21..381G" xr:uid="{00000000-0004-0000-0000-00000E000000}"/>
    <hyperlink ref="AP5944" r:id="rId16" display="http://cdsbib.u-strasbg.fr/cgi-bin/cdsbib?1990RMxAA..21..381G" xr:uid="{00000000-0004-0000-0000-00000F000000}"/>
    <hyperlink ref="I2727" r:id="rId17" display="http://vsolj.cetus-net.org/bulletin.html" xr:uid="{00000000-0004-0000-0000-000010000000}"/>
    <hyperlink ref="AQ6078" r:id="rId18" display="http://cdsbib.u-strasbg.fr/cgi-bin/cdsbib?1990RMxAA..21..381G" xr:uid="{00000000-0004-0000-0000-000011000000}"/>
    <hyperlink ref="AQ630" r:id="rId19" display="http://cdsbib.u-strasbg.fr/cgi-bin/cdsbib?1990RMxAA..21..381G" xr:uid="{00000000-0004-0000-0000-000012000000}"/>
    <hyperlink ref="AQ60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7"/>
  <sheetViews>
    <sheetView workbookViewId="0">
      <selection activeCell="A16" sqref="A16:D19"/>
    </sheetView>
  </sheetViews>
  <sheetFormatPr defaultRowHeight="12.75" x14ac:dyDescent="0.2"/>
  <cols>
    <col min="1" max="1" width="16.28515625" style="9" customWidth="1"/>
    <col min="2" max="2" width="4.42578125" style="11" customWidth="1"/>
    <col min="3" max="3" width="12.7109375" style="9" customWidth="1"/>
    <col min="4" max="4" width="3.5703125" style="11" customWidth="1"/>
    <col min="5" max="5" width="12.42578125" style="11" customWidth="1"/>
    <col min="6" max="6" width="5.42578125" style="11" customWidth="1"/>
    <col min="7" max="7" width="12" style="11" customWidth="1"/>
    <col min="8" max="8" width="7.28515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50</v>
      </c>
      <c r="I1" s="36" t="s">
        <v>51</v>
      </c>
      <c r="J1" s="37" t="s">
        <v>52</v>
      </c>
    </row>
    <row r="2" spans="1:16" x14ac:dyDescent="0.2">
      <c r="I2" s="38" t="s">
        <v>53</v>
      </c>
      <c r="J2" s="39" t="s">
        <v>54</v>
      </c>
    </row>
    <row r="3" spans="1:16" x14ac:dyDescent="0.2">
      <c r="A3" s="40" t="s">
        <v>55</v>
      </c>
      <c r="I3" s="38" t="s">
        <v>56</v>
      </c>
      <c r="J3" s="39" t="s">
        <v>57</v>
      </c>
    </row>
    <row r="4" spans="1:16" x14ac:dyDescent="0.2">
      <c r="I4" s="38" t="s">
        <v>58</v>
      </c>
      <c r="J4" s="39" t="s">
        <v>57</v>
      </c>
    </row>
    <row r="5" spans="1:16" ht="13.5" thickBot="1" x14ac:dyDescent="0.25">
      <c r="I5" s="41" t="s">
        <v>59</v>
      </c>
      <c r="J5" s="42" t="s">
        <v>60</v>
      </c>
    </row>
    <row r="10" spans="1:16" ht="13.5" thickBot="1" x14ac:dyDescent="0.25"/>
    <row r="11" spans="1:16" ht="12.75" customHeight="1" thickBot="1" x14ac:dyDescent="0.25">
      <c r="A11" s="9" t="str">
        <f t="shared" ref="A11:A19" si="0">P11</f>
        <v> ISBV 5875 </v>
      </c>
      <c r="B11" s="2" t="str">
        <f t="shared" ref="B11:B19" si="1">IF(H11=INT(H11),"I","II")</f>
        <v>II</v>
      </c>
      <c r="C11" s="9">
        <f t="shared" ref="C11:C19" si="2">1*G11</f>
        <v>54722.697699999997</v>
      </c>
      <c r="D11" s="11" t="str">
        <f t="shared" ref="D11:D19" si="3">VLOOKUP(F11,I$1:J$5,2,FALSE)</f>
        <v>vis</v>
      </c>
      <c r="E11" s="43">
        <f>VLOOKUP(C11,Active!C$21:E$973,3,FALSE)</f>
        <v>3815.0015040677408</v>
      </c>
      <c r="F11" s="2" t="s">
        <v>59</v>
      </c>
      <c r="G11" s="11" t="str">
        <f t="shared" ref="G11:G19" si="4">MID(I11,3,LEN(I11)-3)</f>
        <v>54722.6977</v>
      </c>
      <c r="H11" s="9">
        <f t="shared" ref="H11:H19" si="5">1*K11</f>
        <v>3815.5</v>
      </c>
      <c r="I11" s="44" t="s">
        <v>68</v>
      </c>
      <c r="J11" s="45" t="s">
        <v>69</v>
      </c>
      <c r="K11" s="44">
        <v>3815.5</v>
      </c>
      <c r="L11" s="44" t="s">
        <v>70</v>
      </c>
      <c r="M11" s="45" t="s">
        <v>64</v>
      </c>
      <c r="N11" s="45" t="s">
        <v>71</v>
      </c>
      <c r="O11" s="46" t="s">
        <v>72</v>
      </c>
      <c r="P11" s="46" t="s">
        <v>73</v>
      </c>
    </row>
    <row r="12" spans="1:16" ht="12.75" customHeight="1" thickBot="1" x14ac:dyDescent="0.25">
      <c r="A12" s="9" t="str">
        <f t="shared" si="0"/>
        <v>OEJV 094 </v>
      </c>
      <c r="B12" s="2" t="str">
        <f t="shared" si="1"/>
        <v>I</v>
      </c>
      <c r="C12" s="9">
        <f t="shared" si="2"/>
        <v>54737.491840000002</v>
      </c>
      <c r="D12" s="11" t="str">
        <f t="shared" si="3"/>
        <v>vis</v>
      </c>
      <c r="E12" s="43">
        <f>VLOOKUP(C12,Active!C$21:E$973,3,FALSE)</f>
        <v>3846.5014678467051</v>
      </c>
      <c r="F12" s="2" t="s">
        <v>59</v>
      </c>
      <c r="G12" s="11" t="str">
        <f t="shared" si="4"/>
        <v>54737.49184</v>
      </c>
      <c r="H12" s="9">
        <f t="shared" si="5"/>
        <v>3847</v>
      </c>
      <c r="I12" s="44" t="s">
        <v>74</v>
      </c>
      <c r="J12" s="45" t="s">
        <v>75</v>
      </c>
      <c r="K12" s="44">
        <v>3847</v>
      </c>
      <c r="L12" s="44" t="s">
        <v>76</v>
      </c>
      <c r="M12" s="45" t="s">
        <v>64</v>
      </c>
      <c r="N12" s="45" t="s">
        <v>51</v>
      </c>
      <c r="O12" s="46" t="s">
        <v>77</v>
      </c>
      <c r="P12" s="47" t="s">
        <v>78</v>
      </c>
    </row>
    <row r="13" spans="1:16" ht="12.75" customHeight="1" thickBot="1" x14ac:dyDescent="0.25">
      <c r="A13" s="9" t="str">
        <f t="shared" si="0"/>
        <v> ISBV 5871 </v>
      </c>
      <c r="B13" s="2" t="str">
        <f t="shared" si="1"/>
        <v>II</v>
      </c>
      <c r="C13" s="9">
        <f t="shared" si="2"/>
        <v>54768.725200000001</v>
      </c>
      <c r="D13" s="11" t="str">
        <f t="shared" si="3"/>
        <v>vis</v>
      </c>
      <c r="E13" s="43">
        <f>VLOOKUP(C13,Active!C$21:E$973,3,FALSE)</f>
        <v>3913.0041309751427</v>
      </c>
      <c r="F13" s="2" t="s">
        <v>59</v>
      </c>
      <c r="G13" s="11" t="str">
        <f t="shared" si="4"/>
        <v>54768.7252</v>
      </c>
      <c r="H13" s="9">
        <f t="shared" si="5"/>
        <v>3913.5</v>
      </c>
      <c r="I13" s="44" t="s">
        <v>79</v>
      </c>
      <c r="J13" s="45" t="s">
        <v>80</v>
      </c>
      <c r="K13" s="44">
        <v>3913.5</v>
      </c>
      <c r="L13" s="44" t="s">
        <v>81</v>
      </c>
      <c r="M13" s="45" t="s">
        <v>64</v>
      </c>
      <c r="N13" s="45" t="s">
        <v>59</v>
      </c>
      <c r="O13" s="46" t="s">
        <v>82</v>
      </c>
      <c r="P13" s="46" t="s">
        <v>83</v>
      </c>
    </row>
    <row r="14" spans="1:16" ht="12.75" customHeight="1" thickBot="1" x14ac:dyDescent="0.25">
      <c r="A14" s="9" t="str">
        <f t="shared" si="0"/>
        <v>BAVM 231 </v>
      </c>
      <c r="B14" s="2" t="str">
        <f t="shared" si="1"/>
        <v>II</v>
      </c>
      <c r="C14" s="9">
        <f t="shared" si="2"/>
        <v>56220.425199999998</v>
      </c>
      <c r="D14" s="11" t="str">
        <f t="shared" si="3"/>
        <v>vis</v>
      </c>
      <c r="E14" s="43">
        <f>VLOOKUP(C14,Active!C$21:E$973,3,FALSE)</f>
        <v>7003.9913338747929</v>
      </c>
      <c r="F14" s="2" t="s">
        <v>59</v>
      </c>
      <c r="G14" s="11" t="str">
        <f t="shared" si="4"/>
        <v>56220.4252</v>
      </c>
      <c r="H14" s="9">
        <f t="shared" si="5"/>
        <v>7004.5</v>
      </c>
      <c r="I14" s="44" t="s">
        <v>100</v>
      </c>
      <c r="J14" s="45" t="s">
        <v>101</v>
      </c>
      <c r="K14" s="44" t="s">
        <v>102</v>
      </c>
      <c r="L14" s="44" t="s">
        <v>103</v>
      </c>
      <c r="M14" s="45" t="s">
        <v>64</v>
      </c>
      <c r="N14" s="45" t="s">
        <v>87</v>
      </c>
      <c r="O14" s="46" t="s">
        <v>88</v>
      </c>
      <c r="P14" s="47" t="s">
        <v>104</v>
      </c>
    </row>
    <row r="15" spans="1:16" ht="12.75" customHeight="1" thickBot="1" x14ac:dyDescent="0.25">
      <c r="A15" s="9" t="str">
        <f t="shared" si="0"/>
        <v>BAVM 239 </v>
      </c>
      <c r="B15" s="2" t="str">
        <f t="shared" si="1"/>
        <v>II</v>
      </c>
      <c r="C15" s="9">
        <f t="shared" si="2"/>
        <v>56949.330199999997</v>
      </c>
      <c r="D15" s="11" t="str">
        <f t="shared" si="3"/>
        <v>vis</v>
      </c>
      <c r="E15" s="43">
        <f>VLOOKUP(C15,Active!C$21:E$973,3,FALSE)</f>
        <v>8555.9896993287912</v>
      </c>
      <c r="F15" s="2" t="s">
        <v>59</v>
      </c>
      <c r="G15" s="11" t="str">
        <f t="shared" si="4"/>
        <v>56949.3302</v>
      </c>
      <c r="H15" s="9">
        <f t="shared" si="5"/>
        <v>8556.5</v>
      </c>
      <c r="I15" s="44" t="s">
        <v>105</v>
      </c>
      <c r="J15" s="45" t="s">
        <v>106</v>
      </c>
      <c r="K15" s="44" t="s">
        <v>107</v>
      </c>
      <c r="L15" s="44" t="s">
        <v>108</v>
      </c>
      <c r="M15" s="45" t="s">
        <v>64</v>
      </c>
      <c r="N15" s="45" t="s">
        <v>71</v>
      </c>
      <c r="O15" s="46" t="s">
        <v>98</v>
      </c>
      <c r="P15" s="47" t="s">
        <v>109</v>
      </c>
    </row>
    <row r="16" spans="1:16" ht="12.75" customHeight="1" thickBot="1" x14ac:dyDescent="0.25">
      <c r="A16" s="9" t="str">
        <f t="shared" si="0"/>
        <v>VSB 46 </v>
      </c>
      <c r="B16" s="2" t="str">
        <f t="shared" si="1"/>
        <v>I</v>
      </c>
      <c r="C16" s="9">
        <f t="shared" si="2"/>
        <v>54134.921699999999</v>
      </c>
      <c r="D16" s="11" t="str">
        <f t="shared" si="3"/>
        <v>vis</v>
      </c>
      <c r="E16" s="43">
        <f>VLOOKUP(C16,Active!C$21:E$973,3,FALSE)</f>
        <v>2563.4976849787126</v>
      </c>
      <c r="F16" s="2" t="s">
        <v>59</v>
      </c>
      <c r="G16" s="11" t="str">
        <f t="shared" si="4"/>
        <v>54134.9217</v>
      </c>
      <c r="H16" s="9">
        <f t="shared" si="5"/>
        <v>2564</v>
      </c>
      <c r="I16" s="44" t="s">
        <v>61</v>
      </c>
      <c r="J16" s="45" t="s">
        <v>62</v>
      </c>
      <c r="K16" s="44">
        <v>2564</v>
      </c>
      <c r="L16" s="44" t="s">
        <v>63</v>
      </c>
      <c r="M16" s="45" t="s">
        <v>64</v>
      </c>
      <c r="N16" s="45" t="s">
        <v>65</v>
      </c>
      <c r="O16" s="46" t="s">
        <v>66</v>
      </c>
      <c r="P16" s="47" t="s">
        <v>67</v>
      </c>
    </row>
    <row r="17" spans="1:16" ht="12.75" customHeight="1" thickBot="1" x14ac:dyDescent="0.25">
      <c r="A17" s="9" t="str">
        <f t="shared" si="0"/>
        <v>BAVM 212 </v>
      </c>
      <c r="B17" s="2" t="str">
        <f t="shared" si="1"/>
        <v>II</v>
      </c>
      <c r="C17" s="9">
        <f t="shared" si="2"/>
        <v>55154.310400000002</v>
      </c>
      <c r="D17" s="11" t="str">
        <f t="shared" si="3"/>
        <v>vis</v>
      </c>
      <c r="E17" s="43">
        <f>VLOOKUP(C17,Active!C$21:E$973,3,FALSE)</f>
        <v>4733.999459781031</v>
      </c>
      <c r="F17" s="2" t="s">
        <v>59</v>
      </c>
      <c r="G17" s="11" t="str">
        <f t="shared" si="4"/>
        <v>55154.3104</v>
      </c>
      <c r="H17" s="9">
        <f t="shared" si="5"/>
        <v>4734.5</v>
      </c>
      <c r="I17" s="44" t="s">
        <v>84</v>
      </c>
      <c r="J17" s="45" t="s">
        <v>85</v>
      </c>
      <c r="K17" s="44">
        <v>4734.5</v>
      </c>
      <c r="L17" s="44" t="s">
        <v>86</v>
      </c>
      <c r="M17" s="45" t="s">
        <v>64</v>
      </c>
      <c r="N17" s="45" t="s">
        <v>87</v>
      </c>
      <c r="O17" s="46" t="s">
        <v>88</v>
      </c>
      <c r="P17" s="47" t="s">
        <v>89</v>
      </c>
    </row>
    <row r="18" spans="1:16" ht="12.75" customHeight="1" thickBot="1" x14ac:dyDescent="0.25">
      <c r="A18" s="9" t="str">
        <f t="shared" si="0"/>
        <v>BAVM 212 </v>
      </c>
      <c r="B18" s="2" t="str">
        <f t="shared" si="1"/>
        <v>I</v>
      </c>
      <c r="C18" s="9">
        <f t="shared" si="2"/>
        <v>55154.544399999999</v>
      </c>
      <c r="D18" s="11" t="str">
        <f t="shared" si="3"/>
        <v>vis</v>
      </c>
      <c r="E18" s="43">
        <f>VLOOKUP(C18,Active!C$21:E$973,3,FALSE)</f>
        <v>4734.4976970238977</v>
      </c>
      <c r="F18" s="2" t="s">
        <v>59</v>
      </c>
      <c r="G18" s="11" t="str">
        <f t="shared" si="4"/>
        <v>55154.5444</v>
      </c>
      <c r="H18" s="9">
        <f t="shared" si="5"/>
        <v>4735</v>
      </c>
      <c r="I18" s="44" t="s">
        <v>90</v>
      </c>
      <c r="J18" s="45" t="s">
        <v>91</v>
      </c>
      <c r="K18" s="44" t="s">
        <v>92</v>
      </c>
      <c r="L18" s="44" t="s">
        <v>93</v>
      </c>
      <c r="M18" s="45" t="s">
        <v>64</v>
      </c>
      <c r="N18" s="45" t="s">
        <v>87</v>
      </c>
      <c r="O18" s="46" t="s">
        <v>88</v>
      </c>
      <c r="P18" s="47" t="s">
        <v>89</v>
      </c>
    </row>
    <row r="19" spans="1:16" ht="12.75" customHeight="1" thickBot="1" x14ac:dyDescent="0.25">
      <c r="A19" s="9" t="str">
        <f t="shared" si="0"/>
        <v>BAVM 225 </v>
      </c>
      <c r="B19" s="2" t="str">
        <f t="shared" si="1"/>
        <v>II</v>
      </c>
      <c r="C19" s="9">
        <f t="shared" si="2"/>
        <v>55866.305099999998</v>
      </c>
      <c r="D19" s="11" t="str">
        <f t="shared" si="3"/>
        <v>vis</v>
      </c>
      <c r="E19" s="43">
        <f>VLOOKUP(C19,Active!C$21:E$973,3,FALSE)</f>
        <v>6249.9920934053107</v>
      </c>
      <c r="F19" s="2" t="s">
        <v>59</v>
      </c>
      <c r="G19" s="11" t="str">
        <f t="shared" si="4"/>
        <v>55866.3051</v>
      </c>
      <c r="H19" s="9">
        <f t="shared" si="5"/>
        <v>6250.5</v>
      </c>
      <c r="I19" s="44" t="s">
        <v>94</v>
      </c>
      <c r="J19" s="45" t="s">
        <v>95</v>
      </c>
      <c r="K19" s="44" t="s">
        <v>96</v>
      </c>
      <c r="L19" s="44" t="s">
        <v>97</v>
      </c>
      <c r="M19" s="45" t="s">
        <v>64</v>
      </c>
      <c r="N19" s="45" t="s">
        <v>71</v>
      </c>
      <c r="O19" s="46" t="s">
        <v>98</v>
      </c>
      <c r="P19" s="47" t="s">
        <v>99</v>
      </c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</sheetData>
  <phoneticPr fontId="7" type="noConversion"/>
  <hyperlinks>
    <hyperlink ref="A3" r:id="rId1" xr:uid="{00000000-0004-0000-0100-000000000000}"/>
    <hyperlink ref="P16" r:id="rId2" display="http://vsolj.cetus-net.org/no46.pdf" xr:uid="{00000000-0004-0000-0100-000001000000}"/>
    <hyperlink ref="P12" r:id="rId3" display="http://var.astro.cz/oejv/issues/oejv094.pdf" xr:uid="{00000000-0004-0000-0100-000002000000}"/>
    <hyperlink ref="P17" r:id="rId4" display="http://www.bav-astro.de/sfs/BAVM_link.php?BAVMnr=212" xr:uid="{00000000-0004-0000-0100-000003000000}"/>
    <hyperlink ref="P18" r:id="rId5" display="http://www.bav-astro.de/sfs/BAVM_link.php?BAVMnr=212" xr:uid="{00000000-0004-0000-0100-000004000000}"/>
    <hyperlink ref="P19" r:id="rId6" display="http://www.bav-astro.de/sfs/BAVM_link.php?BAVMnr=225" xr:uid="{00000000-0004-0000-0100-000005000000}"/>
    <hyperlink ref="P14" r:id="rId7" display="http://www.bav-astro.de/sfs/BAVM_link.php?BAVMnr=231" xr:uid="{00000000-0004-0000-0100-000006000000}"/>
    <hyperlink ref="P15" r:id="rId8" display="http://www.bav-astro.de/sfs/BAVM_link.php?BAVMnr=23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2024-01-09T23:45:15Z</dcterms:modified>
</cp:coreProperties>
</file>