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D5CD65D-DE6F-494C-BC1B-C74C66563F8B}" xr6:coauthVersionLast="47" xr6:coauthVersionMax="47" xr10:uidLastSave="{00000000-0000-0000-0000-000000000000}"/>
  <bookViews>
    <workbookView xWindow="1560" yWindow="156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E37" i="1"/>
  <c r="F37" i="1" s="1"/>
  <c r="G37" i="1" s="1"/>
  <c r="K37" i="1" s="1"/>
  <c r="Q37" i="1"/>
  <c r="E34" i="1"/>
  <c r="F34" i="1" s="1"/>
  <c r="G34" i="1" s="1"/>
  <c r="K34" i="1" s="1"/>
  <c r="Q34" i="1"/>
  <c r="E35" i="1"/>
  <c r="F35" i="1"/>
  <c r="G35" i="1" s="1"/>
  <c r="K35" i="1" s="1"/>
  <c r="Q35" i="1"/>
  <c r="E33" i="1"/>
  <c r="F33" i="1" s="1"/>
  <c r="G33" i="1" s="1"/>
  <c r="K33" i="1" s="1"/>
  <c r="Q33" i="1"/>
  <c r="E31" i="1"/>
  <c r="F31" i="1"/>
  <c r="G31" i="1"/>
  <c r="K31" i="1" s="1"/>
  <c r="E28" i="1"/>
  <c r="F28" i="1"/>
  <c r="G28" i="1"/>
  <c r="K28" i="1"/>
  <c r="E29" i="1"/>
  <c r="F29" i="1"/>
  <c r="G29" i="1"/>
  <c r="K29" i="1" s="1"/>
  <c r="E30" i="1"/>
  <c r="F30" i="1"/>
  <c r="G30" i="1"/>
  <c r="K30" i="1"/>
  <c r="E32" i="1"/>
  <c r="F32" i="1"/>
  <c r="G32" i="1"/>
  <c r="K32" i="1" s="1"/>
  <c r="D9" i="1"/>
  <c r="C9" i="1"/>
  <c r="E26" i="1"/>
  <c r="F26" i="1"/>
  <c r="G26" i="1" s="1"/>
  <c r="K26" i="1" s="1"/>
  <c r="E27" i="1"/>
  <c r="F27" i="1" s="1"/>
  <c r="G27" i="1" s="1"/>
  <c r="I27" i="1" s="1"/>
  <c r="E25" i="1"/>
  <c r="F25" i="1"/>
  <c r="U25" i="1" s="1"/>
  <c r="Q31" i="1"/>
  <c r="Q28" i="1"/>
  <c r="Q29" i="1"/>
  <c r="Q30" i="1"/>
  <c r="E21" i="1"/>
  <c r="F21" i="1"/>
  <c r="G21" i="1"/>
  <c r="H21" i="1" s="1"/>
  <c r="E22" i="1"/>
  <c r="F22" i="1"/>
  <c r="G22" i="1" s="1"/>
  <c r="K22" i="1" s="1"/>
  <c r="E23" i="1"/>
  <c r="F23" i="1"/>
  <c r="G23" i="1"/>
  <c r="K23" i="1" s="1"/>
  <c r="E24" i="1"/>
  <c r="F24" i="1"/>
  <c r="G24" i="1" s="1"/>
  <c r="K24" i="1" s="1"/>
  <c r="Q32" i="1"/>
  <c r="Q22" i="1"/>
  <c r="Q23" i="1"/>
  <c r="Q24" i="1"/>
  <c r="Q25" i="1"/>
  <c r="Q26" i="1"/>
  <c r="Q27" i="1"/>
  <c r="F14" i="1"/>
  <c r="C17" i="1"/>
  <c r="Q21" i="1"/>
  <c r="C12" i="1"/>
  <c r="C11" i="1"/>
  <c r="O37" i="1" l="1"/>
  <c r="O36" i="1"/>
  <c r="O34" i="1"/>
  <c r="O35" i="1"/>
  <c r="O22" i="1"/>
  <c r="O29" i="1"/>
  <c r="O25" i="1"/>
  <c r="O27" i="1"/>
  <c r="O31" i="1"/>
  <c r="O32" i="1"/>
  <c r="C15" i="1"/>
  <c r="O24" i="1"/>
  <c r="O21" i="1"/>
  <c r="O26" i="1"/>
  <c r="O23" i="1"/>
  <c r="O33" i="1"/>
  <c r="O28" i="1"/>
  <c r="O30" i="1"/>
  <c r="C16" i="1"/>
  <c r="D18" i="1" s="1"/>
  <c r="F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<sst xmlns="http://schemas.openxmlformats.org/spreadsheetml/2006/main" count="82" uniqueCount="59">
  <si>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</si>
  <si>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</si>
  <si>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</si>
  <si>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</si>
  <si>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</si>
  <si>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</si>
  <si>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</si>
  <si>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</si>
  <si>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</si>
  <si>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</si>
  <si>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</si>
  <si>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</si>
  <si>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</si>
  <si>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</si>
  <si>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</si>
  <si>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</si>
  <si>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</si>
  <si>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</si>
  <si>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</si>
  <si>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</si>
  <si>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</si>
  <si>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</si>
  <si>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</si>
  <si>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</si>
  <si>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</si>
  <si>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</si>
  <si>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</si>
  <si>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</si>
  <si>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</si>
  <si>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</si>
  <si>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</si>
  <si>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</si>
  <si>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</si>
  <si>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</si>
  <si>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</si>
  <si>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</si>
  <si>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</si>
  <si>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</si>
  <si>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</si>
  <si>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</si>
  <si>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</si>
  <si>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V0523 And / GSC 2290-0900</t>
  </si>
  <si>
    <t>EA</t>
  </si>
  <si>
    <t>OEJV 0160</t>
  </si>
  <si>
    <t>I</t>
  </si>
  <si>
    <t>IBVS 6070</t>
  </si>
  <si>
    <t>IBVS 6092</t>
  </si>
  <si>
    <t>BAD?</t>
  </si>
  <si>
    <t>vis</t>
  </si>
  <si>
    <t>OEJV 0179</t>
  </si>
  <si>
    <t>IBVS 6234</t>
  </si>
  <si>
    <t>OEJV 0211</t>
  </si>
  <si>
    <t>VSB, 108</t>
  </si>
  <si>
    <t>II</t>
  </si>
  <si>
    <t>OEJV 250</t>
  </si>
  <si>
    <t>Next ToM-P</t>
  </si>
  <si>
    <t>Next ToM-S</t>
  </si>
  <si>
    <t>11.9-12.4</t>
  </si>
  <si>
    <t>Mag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</si>
</sst>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15" fillId="0" borderId="0" xfId="42" applyFont="1"/>
    <xf numFmtId="0" fontId="15" fillId="0" borderId="0" xfId="42" applyFont="1" applyAlignment="1">
      <alignment horizontal="center"/>
    </xf>
    <xf numFmtId="0" fontId="15" fillId="0" borderId="0" xfId="42" applyFont="1" applyAlignment="1">
      <alignment horizontal="left"/>
    </xf>
    <xf numFmtId="0" fontId="15" fillId="0" borderId="0" xfId="41" applyFont="1" applyAlignment="1">
      <alignment wrapText="1"/>
    </xf>
    <xf numFmtId="0" fontId="15" fillId="0" borderId="0" xfId="41" applyFont="1" applyAlignment="1">
      <alignment horizontal="center" wrapText="1"/>
    </xf>
    <xf numFmtId="0" fontId="15" fillId="0" borderId="0" xfId="41" applyFont="1" applyAlignment="1">
      <alignment horizontal="left" wrapText="1"/>
    </xf>
    <xf numFmtId="0" fontId="16" fillId="0" borderId="0" xfId="0" applyFont="1">
      <alignment vertical="top"/>
    </xf>
    <xf numFmtId="165" fontId="15" fillId="0" borderId="0" xfId="0" applyNumberFormat="1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  <protection locked="0"/>
    </xf>
    <xf numFmtId="166" fontId="34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5" fillId="24" borderId="12" xfId="0" applyFont="1" applyFill="1" applyBorder="1" applyAlignment="1">
      <alignment horizontal="center" vertical="center"/>
    </xf>
    <xf numFmtId="0" fontId="5" fillId="24" borderId="11" xfId="0" applyFont="1" applyFill="1" applyBorder="1" applyAlignment="1">
      <alignment horizontal="right" vertical="center"/>
    </xf>
    <xf numFmtId="0" fontId="35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22" fontId="8" fillId="0" borderId="14" xfId="0" applyNumberFormat="1" applyFont="1" applyBorder="1" applyAlignment="1">
      <alignment vertical="center"/>
    </xf>
    <xf numFmtId="0" fontId="35" fillId="0" borderId="16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97-4B00-BEF3-395562DDEB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6">
                  <c:v>-1.3019999998505227E-2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97-4B00-BEF3-395562DDEB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97-4B00-BEF3-395562DDEB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-1.0069999996630941E-2</c:v>
                </c:pt>
                <c:pt idx="2">
                  <c:v>-1.1969999999564607E-2</c:v>
                </c:pt>
                <c:pt idx="3">
                  <c:v>-1.0809999992488883E-2</c:v>
                </c:pt>
                <c:pt idx="5">
                  <c:v>-1.1039999997592531E-2</c:v>
                </c:pt>
                <c:pt idx="7">
                  <c:v>-1.2059999993653037E-2</c:v>
                </c:pt>
                <c:pt idx="8">
                  <c:v>-1.1850000002596062E-2</c:v>
                </c:pt>
                <c:pt idx="9">
                  <c:v>-1.0900000001129229E-2</c:v>
                </c:pt>
                <c:pt idx="10">
                  <c:v>-1.0020000001532026E-2</c:v>
                </c:pt>
                <c:pt idx="11">
                  <c:v>-1.0220000003755558E-2</c:v>
                </c:pt>
                <c:pt idx="12">
                  <c:v>-8.9599998464109376E-3</c:v>
                </c:pt>
                <c:pt idx="13">
                  <c:v>-4.5400001254165545E-3</c:v>
                </c:pt>
                <c:pt idx="14">
                  <c:v>-3.0099999567028135E-3</c:v>
                </c:pt>
                <c:pt idx="15">
                  <c:v>-4.2199999952572398E-3</c:v>
                </c:pt>
                <c:pt idx="16">
                  <c:v>-4.4999999954598024E-4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97-4B00-BEF3-395562DDEB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97-4B00-BEF3-395562DDEB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97-4B00-BEF3-395562DDEB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97-4B00-BEF3-395562DDEB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-2.2898872181369805E-2</c:v>
                </c:pt>
                <c:pt idx="1">
                  <c:v>-1.3043306775511491E-2</c:v>
                </c:pt>
                <c:pt idx="2">
                  <c:v>-1.3007139563012929E-2</c:v>
                </c:pt>
                <c:pt idx="3">
                  <c:v>-1.2863676286768631E-2</c:v>
                </c:pt>
                <c:pt idx="4">
                  <c:v>-1.2694895961775338E-2</c:v>
                </c:pt>
                <c:pt idx="5">
                  <c:v>-1.208367007054963E-2</c:v>
                </c:pt>
                <c:pt idx="6">
                  <c:v>-1.1382026148077514E-2</c:v>
                </c:pt>
                <c:pt idx="7">
                  <c:v>-9.734006831893011E-3</c:v>
                </c:pt>
                <c:pt idx="8">
                  <c:v>-9.6520278168962699E-3</c:v>
                </c:pt>
                <c:pt idx="9">
                  <c:v>-9.5676376543996234E-3</c:v>
                </c:pt>
                <c:pt idx="10">
                  <c:v>-9.5555819169001015E-3</c:v>
                </c:pt>
                <c:pt idx="11">
                  <c:v>-7.8858622732164603E-3</c:v>
                </c:pt>
                <c:pt idx="12">
                  <c:v>-7.8774232569667965E-3</c:v>
                </c:pt>
                <c:pt idx="13">
                  <c:v>-4.5367783958495632E-3</c:v>
                </c:pt>
                <c:pt idx="14">
                  <c:v>-4.536175608974586E-3</c:v>
                </c:pt>
                <c:pt idx="15">
                  <c:v>-4.5753567558480292E-3</c:v>
                </c:pt>
                <c:pt idx="16">
                  <c:v>-2.8393305559170218E-3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97-4B00-BEF3-395562DDEB0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4">
                  <c:v>-5.2559999996447004E-2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97-4B00-BEF3-395562DDE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83888"/>
        <c:axId val="1"/>
      </c:scatterChart>
      <c:valAx>
        <c:axId val="709783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83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And - O-C Diagr.</a:t>
            </a:r>
          </a:p>
        </c:rich>
      </c:tx>
      <c:layout>
        <c:manualLayout>
          <c:xMode val="edge"/>
          <c:yMode val="edge"/>
          <c:x val="0.366366839280225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37-47C3-9E07-7CE7B4B584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6">
                  <c:v>-1.3019999998505227E-2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37-47C3-9E07-7CE7B4B584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37-47C3-9E07-7CE7B4B584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-1.0069999996630941E-2</c:v>
                </c:pt>
                <c:pt idx="2">
                  <c:v>-1.1969999999564607E-2</c:v>
                </c:pt>
                <c:pt idx="3">
                  <c:v>-1.0809999992488883E-2</c:v>
                </c:pt>
                <c:pt idx="5">
                  <c:v>-1.1039999997592531E-2</c:v>
                </c:pt>
                <c:pt idx="7">
                  <c:v>-1.2059999993653037E-2</c:v>
                </c:pt>
                <c:pt idx="8">
                  <c:v>-1.1850000002596062E-2</c:v>
                </c:pt>
                <c:pt idx="9">
                  <c:v>-1.0900000001129229E-2</c:v>
                </c:pt>
                <c:pt idx="10">
                  <c:v>-1.0020000001532026E-2</c:v>
                </c:pt>
                <c:pt idx="11">
                  <c:v>-1.0220000003755558E-2</c:v>
                </c:pt>
                <c:pt idx="12">
                  <c:v>-8.9599998464109376E-3</c:v>
                </c:pt>
                <c:pt idx="13">
                  <c:v>-4.5400001254165545E-3</c:v>
                </c:pt>
                <c:pt idx="14">
                  <c:v>-3.0099999567028135E-3</c:v>
                </c:pt>
                <c:pt idx="15">
                  <c:v>-4.2199999952572398E-3</c:v>
                </c:pt>
                <c:pt idx="16">
                  <c:v>-4.4999999954598024E-4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37-47C3-9E07-7CE7B4B584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37-47C3-9E07-7CE7B4B584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37-47C3-9E07-7CE7B4B584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1.2999999999999999E-3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3.3999999999999998E-3</c:v>
                  </c:pt>
                  <c:pt idx="11">
                    <c:v>3.0000000000000001E-3</c:v>
                  </c:pt>
                  <c:pt idx="12">
                    <c:v>2.0000000000000001E-4</c:v>
                  </c:pt>
                  <c:pt idx="15">
                    <c:v>3.1E-4</c:v>
                  </c:pt>
                  <c:pt idx="16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37-47C3-9E07-7CE7B4B584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-2.2898872181369805E-2</c:v>
                </c:pt>
                <c:pt idx="1">
                  <c:v>-1.3043306775511491E-2</c:v>
                </c:pt>
                <c:pt idx="2">
                  <c:v>-1.3007139563012929E-2</c:v>
                </c:pt>
                <c:pt idx="3">
                  <c:v>-1.2863676286768631E-2</c:v>
                </c:pt>
                <c:pt idx="4">
                  <c:v>-1.2694895961775338E-2</c:v>
                </c:pt>
                <c:pt idx="5">
                  <c:v>-1.208367007054963E-2</c:v>
                </c:pt>
                <c:pt idx="6">
                  <c:v>-1.1382026148077514E-2</c:v>
                </c:pt>
                <c:pt idx="7">
                  <c:v>-9.734006831893011E-3</c:v>
                </c:pt>
                <c:pt idx="8">
                  <c:v>-9.6520278168962699E-3</c:v>
                </c:pt>
                <c:pt idx="9">
                  <c:v>-9.5676376543996234E-3</c:v>
                </c:pt>
                <c:pt idx="10">
                  <c:v>-9.5555819169001015E-3</c:v>
                </c:pt>
                <c:pt idx="11">
                  <c:v>-7.8858622732164603E-3</c:v>
                </c:pt>
                <c:pt idx="12">
                  <c:v>-7.8774232569667965E-3</c:v>
                </c:pt>
                <c:pt idx="13">
                  <c:v>-4.5367783958495632E-3</c:v>
                </c:pt>
                <c:pt idx="14">
                  <c:v>-4.536175608974586E-3</c:v>
                </c:pt>
                <c:pt idx="15">
                  <c:v>-4.5753567558480292E-3</c:v>
                </c:pt>
                <c:pt idx="16">
                  <c:v>-2.8393305559170218E-3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37-47C3-9E07-7CE7B4B584A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solidFill>
                <a:srgbClr val="CC9CCC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8175</c:v>
                </c:pt>
                <c:pt idx="2">
                  <c:v>8205</c:v>
                </c:pt>
                <c:pt idx="3">
                  <c:v>8324</c:v>
                </c:pt>
                <c:pt idx="4">
                  <c:v>8464</c:v>
                </c:pt>
                <c:pt idx="5">
                  <c:v>8971</c:v>
                </c:pt>
                <c:pt idx="6">
                  <c:v>9553</c:v>
                </c:pt>
                <c:pt idx="7">
                  <c:v>10920</c:v>
                </c:pt>
                <c:pt idx="8">
                  <c:v>10988</c:v>
                </c:pt>
                <c:pt idx="9">
                  <c:v>11058</c:v>
                </c:pt>
                <c:pt idx="10">
                  <c:v>11068</c:v>
                </c:pt>
                <c:pt idx="11">
                  <c:v>12453</c:v>
                </c:pt>
                <c:pt idx="12">
                  <c:v>12460</c:v>
                </c:pt>
                <c:pt idx="13">
                  <c:v>15231</c:v>
                </c:pt>
                <c:pt idx="14">
                  <c:v>15231.5</c:v>
                </c:pt>
                <c:pt idx="15">
                  <c:v>15199</c:v>
                </c:pt>
                <c:pt idx="16">
                  <c:v>16639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4">
                  <c:v>-5.2559999996447004E-2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37-47C3-9E07-7CE7B4B5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76328"/>
        <c:axId val="1"/>
      </c:scatterChart>
      <c:valAx>
        <c:axId val="709776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76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70902398461452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18</xdr:col>
      <xdr:colOff>85725</xdr:colOff>
      <xdr:row>18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06ACB4C-8A4F-5264-6311-9FC2761D1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219075</xdr:colOff>
      <xdr:row>0</xdr:row>
      <xdr:rowOff>0</xdr:rowOff>
    </xdr:from>
    <xdr:to>
      <xdr:col>27</xdr:col>
      <xdr:colOff>390525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0851010-4539-DEE2-120B-79DCCB6E4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ht="12.95" customHeight="1" x14ac:dyDescent="0.2">
      <c r="A2" t="s">
        <v>27</v>
      </c>
      <c r="B2" t="s">
        <v>42</v>
      </c>
      <c r="C2" s="3"/>
    </row>
    <row r="3" spans="1:6" ht="12.95" customHeight="1" thickBot="1" x14ac:dyDescent="0.25"/>
    <row r="4" spans="1:6" ht="12.95" customHeight="1" thickTop="1" thickBot="1" x14ac:dyDescent="0.25">
      <c r="A4" s="5" t="s">
        <v>4</v>
      </c>
      <c r="C4" s="25" t="s">
        <v>39</v>
      </c>
      <c r="D4" s="26" t="s">
        <v>39</v>
      </c>
    </row>
    <row r="5" spans="1:6" ht="12.95" customHeight="1" thickTop="1" x14ac:dyDescent="0.2">
      <c r="A5" s="9" t="s">
        <v>32</v>
      </c>
      <c r="B5" s="10"/>
      <c r="C5" s="11">
        <v>-9.5</v>
      </c>
      <c r="D5" s="10" t="s">
        <v>33</v>
      </c>
      <c r="E5" s="10"/>
    </row>
    <row r="6" spans="1:6" ht="12.95" customHeight="1" x14ac:dyDescent="0.2">
      <c r="A6" s="5" t="s">
        <v>5</v>
      </c>
    </row>
    <row r="7" spans="1:6" ht="12.95" customHeight="1" x14ac:dyDescent="0.2">
      <c r="A7" t="s">
        <v>6</v>
      </c>
      <c r="C7" s="47">
        <v>51478.764999999999</v>
      </c>
      <c r="D7" s="27" t="s">
        <v>40</v>
      </c>
    </row>
    <row r="8" spans="1:6" ht="12.95" customHeight="1" x14ac:dyDescent="0.2">
      <c r="A8" t="s">
        <v>7</v>
      </c>
      <c r="C8" s="47">
        <v>0.52854000000000001</v>
      </c>
      <c r="D8" s="27" t="s">
        <v>40</v>
      </c>
    </row>
    <row r="9" spans="1:6" ht="12.95" customHeight="1" x14ac:dyDescent="0.2">
      <c r="A9" s="22" t="s">
        <v>35</v>
      </c>
      <c r="B9" s="23">
        <v>22</v>
      </c>
      <c r="C9" s="20" t="str">
        <f>"F"&amp;B9</f>
        <v>F22</v>
      </c>
      <c r="D9" s="21" t="str">
        <f>"G"&amp;B9</f>
        <v>G22</v>
      </c>
    </row>
    <row r="10" spans="1:6" ht="12.95" customHeight="1" thickBot="1" x14ac:dyDescent="0.25">
      <c r="A10" s="10"/>
      <c r="B10" s="10"/>
      <c r="C10" s="4" t="s">
        <v>23</v>
      </c>
      <c r="D10" s="4" t="s">
        <v>24</v>
      </c>
      <c r="E10" s="10"/>
    </row>
    <row r="11" spans="1:6" ht="12.95" customHeight="1" x14ac:dyDescent="0.2">
      <c r="A11" s="10" t="s">
        <v>19</v>
      </c>
      <c r="B11" s="10"/>
      <c r="C11" s="19">
        <f ca="1">INTERCEPT(INDIRECT($D$9):G988,INDIRECT($C$9):F988)</f>
        <v>-2.2898872181369805E-2</v>
      </c>
      <c r="D11" s="3"/>
      <c r="E11" s="10"/>
    </row>
    <row r="12" spans="1:6" ht="12.95" customHeight="1" x14ac:dyDescent="0.2">
      <c r="A12" s="10" t="s">
        <v>20</v>
      </c>
      <c r="B12" s="10"/>
      <c r="C12" s="19">
        <f ca="1">SLOPE(INDIRECT($D$9):G988,INDIRECT($C$9):F988)</f>
        <v>1.2055737499520874E-6</v>
      </c>
      <c r="D12" s="3"/>
      <c r="E12" s="52" t="s">
        <v>58</v>
      </c>
      <c r="F12" s="51" t="s">
        <v>57</v>
      </c>
    </row>
    <row r="13" spans="1:6" ht="12.95" customHeight="1" x14ac:dyDescent="0.2">
      <c r="A13" s="10" t="s">
        <v>22</v>
      </c>
      <c r="B13" s="10"/>
      <c r="C13" s="3" t="s">
        <v>17</v>
      </c>
      <c r="E13" s="53" t="s">
        <v>36</v>
      </c>
      <c r="F13" s="54">
        <v>1</v>
      </c>
    </row>
    <row r="14" spans="1:6" ht="12.95" customHeight="1" x14ac:dyDescent="0.2">
      <c r="A14" s="10"/>
      <c r="B14" s="10"/>
      <c r="C14" s="10"/>
      <c r="E14" s="53" t="s">
        <v>34</v>
      </c>
      <c r="F14" s="55">
        <f ca="1">NOW()+15018.5+$C$5/24</f>
        <v>60519.758305439813</v>
      </c>
    </row>
    <row r="15" spans="1:6" ht="12.95" customHeight="1" x14ac:dyDescent="0.2">
      <c r="A15" s="12" t="s">
        <v>21</v>
      </c>
      <c r="B15" s="10"/>
      <c r="C15" s="13">
        <f ca="1">(C7+C11)+(C8+C12)*INT(MAX(F21:F3529))</f>
        <v>60273.139220669444</v>
      </c>
      <c r="E15" s="53" t="s">
        <v>37</v>
      </c>
      <c r="F15" s="55">
        <f ca="1">ROUND(2*(F14-$C$7)/$C$8,0)/2+F13</f>
        <v>17106.5</v>
      </c>
    </row>
    <row r="16" spans="1:6" ht="12.95" customHeight="1" x14ac:dyDescent="0.2">
      <c r="A16" s="15" t="s">
        <v>8</v>
      </c>
      <c r="B16" s="10"/>
      <c r="C16" s="16">
        <f ca="1">+C8+C12</f>
        <v>0.52854120557374995</v>
      </c>
      <c r="E16" s="53" t="s">
        <v>38</v>
      </c>
      <c r="F16" s="56">
        <f ca="1">ROUND(2*(F14-$C$15)/$C$16,0)/2+F13</f>
        <v>467.5</v>
      </c>
    </row>
    <row r="17" spans="1:21" ht="12.95" customHeight="1" thickBot="1" x14ac:dyDescent="0.25">
      <c r="A17" s="14" t="s">
        <v>31</v>
      </c>
      <c r="B17" s="10"/>
      <c r="C17" s="10">
        <f>COUNT(C21:C2187)</f>
        <v>17</v>
      </c>
      <c r="E17" s="53" t="s">
        <v>55</v>
      </c>
      <c r="F17" s="57">
        <f ca="1">+$C$15+$C$16*$F$16-15018.5-$C$5/24</f>
        <v>45502.128067608508</v>
      </c>
    </row>
    <row r="18" spans="1:21" ht="12.95" customHeight="1" thickTop="1" thickBot="1" x14ac:dyDescent="0.25">
      <c r="A18" s="15" t="s">
        <v>9</v>
      </c>
      <c r="B18" s="10"/>
      <c r="C18" s="17">
        <f ca="1">+C15</f>
        <v>60273.139220669444</v>
      </c>
      <c r="D18" s="18">
        <f ca="1">+C16</f>
        <v>0.52854120557374995</v>
      </c>
      <c r="E18" s="58" t="s">
        <v>56</v>
      </c>
      <c r="F18" s="59">
        <f ca="1">+($C$15+$C$16*$F$16)-($C$16/2)-15018.5-$C$5/24</f>
        <v>45501.863797005724</v>
      </c>
    </row>
    <row r="19" spans="1:21" ht="12.95" customHeight="1" thickTop="1" x14ac:dyDescent="0.2"/>
    <row r="20" spans="1:21" ht="12.95" customHeight="1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4" t="s">
        <v>47</v>
      </c>
    </row>
    <row r="21" spans="1:21" ht="12.95" customHeight="1" x14ac:dyDescent="0.2">
      <c r="A21" t="s">
        <v>40</v>
      </c>
      <c r="C21" s="8">
        <v>51478.764999999999</v>
      </c>
      <c r="D21" s="8" t="s">
        <v>17</v>
      </c>
      <c r="E21">
        <f>+(C21-C$7)/C$8</f>
        <v>0</v>
      </c>
      <c r="F21">
        <f t="shared" ref="F21:F33" si="0">ROUND(2*E21,0)/2</f>
        <v>0</v>
      </c>
      <c r="G21">
        <f>+C21-(C$7+F21*C$8)</f>
        <v>0</v>
      </c>
      <c r="H21">
        <f>+G21</f>
        <v>0</v>
      </c>
      <c r="O21">
        <f ca="1">+C$11+C$12*$F21</f>
        <v>-2.2898872181369805E-2</v>
      </c>
      <c r="Q21" s="2">
        <f>+C21-15018.5</f>
        <v>36460.264999999999</v>
      </c>
    </row>
    <row r="22" spans="1:21" ht="12.95" customHeight="1" x14ac:dyDescent="0.2">
      <c r="A22" s="28" t="s">
        <v>43</v>
      </c>
      <c r="B22" s="29" t="s">
        <v>44</v>
      </c>
      <c r="C22" s="30">
        <v>55799.569430000003</v>
      </c>
      <c r="D22" s="30">
        <v>4.0000000000000002E-4</v>
      </c>
      <c r="E22">
        <f>+(C22-C$7)/C$8</f>
        <v>8174.9809475158054</v>
      </c>
      <c r="F22">
        <f t="shared" si="0"/>
        <v>8175</v>
      </c>
      <c r="G22">
        <f>+C22-(C$7+F22*C$8)</f>
        <v>-1.0069999996630941E-2</v>
      </c>
      <c r="K22">
        <f>+G22</f>
        <v>-1.0069999996630941E-2</v>
      </c>
      <c r="O22">
        <f ca="1">+C$11+C$12*$F22</f>
        <v>-1.3043306775511491E-2</v>
      </c>
      <c r="Q22" s="2">
        <f>+C22-15018.5</f>
        <v>40781.069430000003</v>
      </c>
    </row>
    <row r="23" spans="1:21" ht="12.95" customHeight="1" x14ac:dyDescent="0.2">
      <c r="A23" s="28" t="s">
        <v>43</v>
      </c>
      <c r="B23" s="29" t="s">
        <v>44</v>
      </c>
      <c r="C23" s="30">
        <v>55815.423730000002</v>
      </c>
      <c r="D23" s="30">
        <v>2E-3</v>
      </c>
      <c r="E23">
        <f>+(C23-C$7)/C$8</f>
        <v>8204.9773527074631</v>
      </c>
      <c r="F23">
        <f t="shared" si="0"/>
        <v>8205</v>
      </c>
      <c r="G23">
        <f>+C23-(C$7+F23*C$8)</f>
        <v>-1.1969999999564607E-2</v>
      </c>
      <c r="K23">
        <f>+G23</f>
        <v>-1.1969999999564607E-2</v>
      </c>
      <c r="O23">
        <f ca="1">+C$11+C$12*$F23</f>
        <v>-1.3007139563012929E-2</v>
      </c>
      <c r="Q23" s="2">
        <f>+C23-15018.5</f>
        <v>40796.923730000002</v>
      </c>
    </row>
    <row r="24" spans="1:21" ht="12.95" customHeight="1" x14ac:dyDescent="0.2">
      <c r="A24" s="28" t="s">
        <v>43</v>
      </c>
      <c r="B24" s="29" t="s">
        <v>44</v>
      </c>
      <c r="C24" s="30">
        <v>55878.321150000003</v>
      </c>
      <c r="D24" s="30">
        <v>1E-4</v>
      </c>
      <c r="E24">
        <f>+(C24-C$7)/C$8</f>
        <v>8323.9795474325583</v>
      </c>
      <c r="F24">
        <f t="shared" si="0"/>
        <v>8324</v>
      </c>
      <c r="G24">
        <f>+C24-(C$7+F24*C$8)</f>
        <v>-1.0809999992488883E-2</v>
      </c>
      <c r="K24">
        <f>+G24</f>
        <v>-1.0809999992488883E-2</v>
      </c>
      <c r="O24">
        <f ca="1">+C$11+C$12*$F24</f>
        <v>-1.2863676286768631E-2</v>
      </c>
      <c r="Q24" s="2">
        <f>+C24-15018.5</f>
        <v>40859.821150000003</v>
      </c>
    </row>
    <row r="25" spans="1:21" ht="12.95" customHeight="1" x14ac:dyDescent="0.2">
      <c r="A25" s="28" t="s">
        <v>45</v>
      </c>
      <c r="B25" s="29" t="s">
        <v>44</v>
      </c>
      <c r="C25" s="30">
        <v>55952.275000000001</v>
      </c>
      <c r="D25" s="30">
        <v>2.0000000000000001E-4</v>
      </c>
      <c r="E25">
        <f t="shared" ref="E25:E32" si="1">+(C25-C$7)/C$8</f>
        <v>8463.9005562492948</v>
      </c>
      <c r="F25">
        <f t="shared" si="0"/>
        <v>8464</v>
      </c>
      <c r="O25">
        <f t="shared" ref="O25:O32" ca="1" si="2">+C$11+C$12*$F25</f>
        <v>-1.2694895961775338E-2</v>
      </c>
      <c r="Q25" s="2">
        <f t="shared" ref="Q25:Q32" si="3">+C25-15018.5</f>
        <v>40933.775000000001</v>
      </c>
      <c r="U25">
        <f>+C25-(C$7+F25*C$8)</f>
        <v>-5.2559999996447004E-2</v>
      </c>
    </row>
    <row r="26" spans="1:21" ht="12.95" customHeight="1" x14ac:dyDescent="0.2">
      <c r="A26" s="28" t="s">
        <v>45</v>
      </c>
      <c r="B26" s="29" t="s">
        <v>44</v>
      </c>
      <c r="C26" s="30">
        <v>56220.2863</v>
      </c>
      <c r="D26" s="30">
        <v>1.2999999999999999E-3</v>
      </c>
      <c r="E26">
        <f t="shared" si="1"/>
        <v>8970.9791122715415</v>
      </c>
      <c r="F26">
        <f t="shared" si="0"/>
        <v>8971</v>
      </c>
      <c r="G26">
        <f t="shared" ref="G26:G32" si="4">+C26-(C$7+F26*C$8)</f>
        <v>-1.1039999997592531E-2</v>
      </c>
      <c r="K26">
        <f>+G26</f>
        <v>-1.1039999997592531E-2</v>
      </c>
      <c r="O26">
        <f t="shared" ca="1" si="2"/>
        <v>-1.208367007054963E-2</v>
      </c>
      <c r="Q26" s="2">
        <f t="shared" si="3"/>
        <v>41201.7863</v>
      </c>
    </row>
    <row r="27" spans="1:21" x14ac:dyDescent="0.2">
      <c r="A27" s="31" t="s">
        <v>46</v>
      </c>
      <c r="B27" s="32"/>
      <c r="C27" s="30">
        <v>56527.8946</v>
      </c>
      <c r="D27" s="30">
        <v>2.0000000000000001E-4</v>
      </c>
      <c r="E27">
        <f t="shared" si="1"/>
        <v>9552.9753661028499</v>
      </c>
      <c r="F27">
        <f t="shared" si="0"/>
        <v>9553</v>
      </c>
      <c r="G27">
        <f t="shared" si="4"/>
        <v>-1.3019999998505227E-2</v>
      </c>
      <c r="I27">
        <f>+G27</f>
        <v>-1.3019999998505227E-2</v>
      </c>
      <c r="O27">
        <f t="shared" ca="1" si="2"/>
        <v>-1.1382026148077514E-2</v>
      </c>
      <c r="Q27" s="2">
        <f t="shared" si="3"/>
        <v>41509.3946</v>
      </c>
    </row>
    <row r="28" spans="1:21" x14ac:dyDescent="0.2">
      <c r="A28" s="33" t="s">
        <v>49</v>
      </c>
      <c r="B28" s="34" t="s">
        <v>44</v>
      </c>
      <c r="C28" s="35">
        <v>57250.409740000003</v>
      </c>
      <c r="D28" s="35">
        <v>1E-4</v>
      </c>
      <c r="E28">
        <f t="shared" si="1"/>
        <v>10919.97718242707</v>
      </c>
      <c r="F28">
        <f t="shared" si="0"/>
        <v>10920</v>
      </c>
      <c r="G28">
        <f t="shared" si="4"/>
        <v>-1.2059999993653037E-2</v>
      </c>
      <c r="K28">
        <f t="shared" ref="K28:K33" si="5">G28</f>
        <v>-1.2059999993653037E-2</v>
      </c>
      <c r="O28">
        <f t="shared" ca="1" si="2"/>
        <v>-9.734006831893011E-3</v>
      </c>
      <c r="Q28" s="2">
        <f t="shared" si="3"/>
        <v>42231.909740000003</v>
      </c>
    </row>
    <row r="29" spans="1:21" x14ac:dyDescent="0.2">
      <c r="A29" s="33" t="s">
        <v>49</v>
      </c>
      <c r="B29" s="34" t="s">
        <v>44</v>
      </c>
      <c r="C29" s="35">
        <v>57286.35067</v>
      </c>
      <c r="D29" s="35">
        <v>4.0000000000000002E-4</v>
      </c>
      <c r="E29">
        <f t="shared" si="1"/>
        <v>10987.977579747985</v>
      </c>
      <c r="F29">
        <f t="shared" si="0"/>
        <v>10988</v>
      </c>
      <c r="G29">
        <f t="shared" si="4"/>
        <v>-1.1850000002596062E-2</v>
      </c>
      <c r="K29">
        <f t="shared" si="5"/>
        <v>-1.1850000002596062E-2</v>
      </c>
      <c r="O29">
        <f t="shared" ca="1" si="2"/>
        <v>-9.6520278168962699E-3</v>
      </c>
      <c r="Q29" s="2">
        <f t="shared" si="3"/>
        <v>42267.85067</v>
      </c>
    </row>
    <row r="30" spans="1:21" x14ac:dyDescent="0.2">
      <c r="A30" s="33" t="s">
        <v>49</v>
      </c>
      <c r="B30" s="34" t="s">
        <v>44</v>
      </c>
      <c r="C30" s="35">
        <v>57323.349419999999</v>
      </c>
      <c r="D30" s="35">
        <v>2.9999999999999997E-4</v>
      </c>
      <c r="E30">
        <f t="shared" si="1"/>
        <v>11057.979377152153</v>
      </c>
      <c r="F30">
        <f t="shared" si="0"/>
        <v>11058</v>
      </c>
      <c r="G30">
        <f t="shared" si="4"/>
        <v>-1.0900000001129229E-2</v>
      </c>
      <c r="K30">
        <f t="shared" si="5"/>
        <v>-1.0900000001129229E-2</v>
      </c>
      <c r="O30">
        <f t="shared" ca="1" si="2"/>
        <v>-9.5676376543996234E-3</v>
      </c>
      <c r="Q30" s="2">
        <f t="shared" si="3"/>
        <v>42304.849419999999</v>
      </c>
    </row>
    <row r="31" spans="1:21" x14ac:dyDescent="0.2">
      <c r="A31" s="36" t="s">
        <v>1</v>
      </c>
      <c r="B31" s="37" t="s">
        <v>44</v>
      </c>
      <c r="C31" s="38">
        <v>57328.635699999999</v>
      </c>
      <c r="D31" s="38">
        <v>3.3999999999999998E-3</v>
      </c>
      <c r="E31">
        <f t="shared" si="1"/>
        <v>11067.981042116016</v>
      </c>
      <c r="F31">
        <f t="shared" si="0"/>
        <v>11068</v>
      </c>
      <c r="G31">
        <f t="shared" si="4"/>
        <v>-1.0020000001532026E-2</v>
      </c>
      <c r="K31">
        <f t="shared" si="5"/>
        <v>-1.0020000001532026E-2</v>
      </c>
      <c r="O31">
        <f t="shared" ca="1" si="2"/>
        <v>-9.5555819169001015E-3</v>
      </c>
      <c r="Q31" s="2">
        <f t="shared" si="3"/>
        <v>42310.135699999999</v>
      </c>
    </row>
    <row r="32" spans="1:21" x14ac:dyDescent="0.2">
      <c r="A32" s="39" t="s">
        <v>50</v>
      </c>
      <c r="B32" s="32"/>
      <c r="C32" s="40">
        <v>58060.663399999998</v>
      </c>
      <c r="D32" s="30">
        <v>3.0000000000000001E-3</v>
      </c>
      <c r="E32">
        <f t="shared" si="1"/>
        <v>12452.980663715136</v>
      </c>
      <c r="F32">
        <f t="shared" si="0"/>
        <v>12453</v>
      </c>
      <c r="G32">
        <f t="shared" si="4"/>
        <v>-1.0220000003755558E-2</v>
      </c>
      <c r="K32">
        <f t="shared" si="5"/>
        <v>-1.0220000003755558E-2</v>
      </c>
      <c r="O32">
        <f t="shared" ca="1" si="2"/>
        <v>-7.8858622732164603E-3</v>
      </c>
      <c r="Q32" s="2">
        <f t="shared" si="3"/>
        <v>43042.163399999998</v>
      </c>
    </row>
    <row r="33" spans="1:17" x14ac:dyDescent="0.2">
      <c r="A33" s="41" t="s">
        <v>51</v>
      </c>
      <c r="B33" s="42" t="s">
        <v>44</v>
      </c>
      <c r="C33" s="43">
        <v>58064.36444000015</v>
      </c>
      <c r="D33" s="43">
        <v>2.0000000000000001E-4</v>
      </c>
      <c r="E33">
        <f>+(C33-C$7)/C$8</f>
        <v>12459.983047640955</v>
      </c>
      <c r="F33">
        <f t="shared" si="0"/>
        <v>12460</v>
      </c>
      <c r="G33">
        <f>+C33-(C$7+F33*C$8)</f>
        <v>-8.9599998464109376E-3</v>
      </c>
      <c r="K33">
        <f t="shared" si="5"/>
        <v>-8.9599998464109376E-3</v>
      </c>
      <c r="O33">
        <f ca="1">+C$11+C$12*$F33</f>
        <v>-7.8774232569667965E-3</v>
      </c>
      <c r="Q33" s="2">
        <f>+C33-15018.5</f>
        <v>43045.86444000015</v>
      </c>
    </row>
    <row r="34" spans="1:17" x14ac:dyDescent="0.2">
      <c r="A34" s="44" t="s">
        <v>52</v>
      </c>
      <c r="B34" s="45" t="s">
        <v>44</v>
      </c>
      <c r="C34" s="46">
        <v>59528.953199999873</v>
      </c>
      <c r="D34" s="30"/>
      <c r="E34">
        <f t="shared" ref="E34:E35" si="6">+(C34-C$7)/C$8</f>
        <v>15230.991410299832</v>
      </c>
      <c r="F34">
        <f t="shared" ref="F34:F35" si="7">ROUND(2*E34,0)/2</f>
        <v>15231</v>
      </c>
      <c r="G34">
        <f t="shared" ref="G34:G35" si="8">+C34-(C$7+F34*C$8)</f>
        <v>-4.5400001254165545E-3</v>
      </c>
      <c r="K34">
        <f t="shared" ref="K34:K35" si="9">G34</f>
        <v>-4.5400001254165545E-3</v>
      </c>
      <c r="O34">
        <f t="shared" ref="O34:O35" ca="1" si="10">+C$11+C$12*$F34</f>
        <v>-4.5367783958495632E-3</v>
      </c>
      <c r="Q34" s="2">
        <f t="shared" ref="Q34:Q35" si="11">+C34-15018.5</f>
        <v>44510.453199999873</v>
      </c>
    </row>
    <row r="35" spans="1:17" x14ac:dyDescent="0.2">
      <c r="A35" s="44" t="s">
        <v>52</v>
      </c>
      <c r="B35" s="45" t="s">
        <v>53</v>
      </c>
      <c r="C35" s="46">
        <v>59529.219000000041</v>
      </c>
      <c r="D35" s="8"/>
      <c r="E35">
        <f t="shared" si="6"/>
        <v>15231.494305066866</v>
      </c>
      <c r="F35">
        <f t="shared" si="7"/>
        <v>15231.5</v>
      </c>
      <c r="G35">
        <f t="shared" si="8"/>
        <v>-3.0099999567028135E-3</v>
      </c>
      <c r="K35">
        <f t="shared" si="9"/>
        <v>-3.0099999567028135E-3</v>
      </c>
      <c r="O35">
        <f t="shared" ca="1" si="10"/>
        <v>-4.536175608974586E-3</v>
      </c>
      <c r="Q35" s="2">
        <f t="shared" si="11"/>
        <v>44510.719000000041</v>
      </c>
    </row>
    <row r="36" spans="1:17" x14ac:dyDescent="0.2">
      <c r="A36" s="48" t="s">
        <v>54</v>
      </c>
      <c r="B36" s="49" t="s">
        <v>44</v>
      </c>
      <c r="C36" s="50">
        <v>59512.040240000002</v>
      </c>
      <c r="D36" s="50">
        <v>3.1E-4</v>
      </c>
      <c r="E36">
        <f t="shared" ref="E36:E37" si="12">+(C36-C$7)/C$8</f>
        <v>15198.992015741482</v>
      </c>
      <c r="F36">
        <f t="shared" ref="F36:F37" si="13">ROUND(2*E36,0)/2</f>
        <v>15199</v>
      </c>
      <c r="G36">
        <f t="shared" ref="G36:G37" si="14">+C36-(C$7+F36*C$8)</f>
        <v>-4.2199999952572398E-3</v>
      </c>
      <c r="K36">
        <f t="shared" ref="K36:K37" si="15">G36</f>
        <v>-4.2199999952572398E-3</v>
      </c>
      <c r="O36">
        <f t="shared" ref="O36:O37" ca="1" si="16">+C$11+C$12*$F36</f>
        <v>-4.5753567558480292E-3</v>
      </c>
      <c r="Q36" s="2">
        <f t="shared" ref="Q36:Q37" si="17">+C36-15018.5</f>
        <v>44493.540240000002</v>
      </c>
    </row>
    <row r="37" spans="1:17" x14ac:dyDescent="0.2">
      <c r="A37" s="48" t="s">
        <v>54</v>
      </c>
      <c r="B37" s="49" t="s">
        <v>44</v>
      </c>
      <c r="C37" s="50">
        <v>60273.141609999999</v>
      </c>
      <c r="D37" s="50">
        <v>6.0000000000000002E-5</v>
      </c>
      <c r="E37">
        <f t="shared" si="12"/>
        <v>16638.999148598024</v>
      </c>
      <c r="F37">
        <f t="shared" si="13"/>
        <v>16639</v>
      </c>
      <c r="G37">
        <f t="shared" si="14"/>
        <v>-4.4999999954598024E-4</v>
      </c>
      <c r="K37">
        <f t="shared" si="15"/>
        <v>-4.4999999954598024E-4</v>
      </c>
      <c r="O37">
        <f t="shared" ca="1" si="16"/>
        <v>-2.8393305559170218E-3</v>
      </c>
      <c r="Q37" s="2">
        <f t="shared" si="17"/>
        <v>45254.641609999999</v>
      </c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</sheetData>
  <protectedRanges>
    <protectedRange sqref="A33:D33" name="Range1"/>
  </protectedRanges>
  <phoneticPr fontId="7" type="noConversion"/>
  <hyperlinks>
    <hyperlink ref="H352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2024-07-28T06:11:57Z</dcterms:modified>
</cp:coreProperties>
</file>