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5175D3A-FC06-440B-8234-153F553297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22" i="1"/>
  <c r="A22" i="1"/>
  <c r="F14" i="1"/>
  <c r="Q23" i="1"/>
  <c r="G11" i="1"/>
  <c r="F11" i="1"/>
  <c r="E23" i="1"/>
  <c r="F23" i="1" s="1"/>
  <c r="G23" i="1" s="1"/>
  <c r="J23" i="1" s="1"/>
  <c r="C17" i="1"/>
  <c r="Q21" i="1"/>
  <c r="E21" i="1"/>
  <c r="F21" i="1" s="1"/>
  <c r="G21" i="1" s="1"/>
  <c r="H21" i="1" s="1"/>
  <c r="C12" i="1"/>
  <c r="F15" i="1" l="1"/>
  <c r="C16" i="1"/>
  <c r="D18" i="1" s="1"/>
  <c r="C11" i="1"/>
  <c r="O22" i="1" l="1"/>
  <c r="O21" i="1"/>
  <c r="C15" i="1"/>
  <c r="O23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<sst xmlns="http://schemas.openxmlformats.org/spreadsheetml/2006/main" count="51" uniqueCount="48">
  <si>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</si>
  <si>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</si>
  <si>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</si>
  <si>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</si>
  <si>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</si>
  <si>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</si>
  <si>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</si>
  <si>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</si>
  <si>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</si>
  <si>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</si>
  <si>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</si>
  <si>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</si>
  <si>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</si>
  <si>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</si>
  <si>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</si>
  <si>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</si>
  <si>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</si>
  <si>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</si>
  <si>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</si>
  <si>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</si>
  <si>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</si>
  <si>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</si>
  <si>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</si>
  <si>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</si>
  <si>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</si>
  <si>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</si>
  <si>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</si>
  <si>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</si>
  <si>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</si>
  <si>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</si>
  <si>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</si>
  <si>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</si>
  <si>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</si>
  <si>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</si>
  <si>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</si>
  <si>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</si>
  <si>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AL Aps / GSC 9429-1348</t>
  </si>
  <si>
    <t>EA</t>
  </si>
  <si>
    <t>VSX</t>
  </si>
  <si>
    <t>OEJV 0073</t>
  </si>
  <si>
    <t>I</t>
  </si>
  <si>
    <t xml:space="preserve">Mag </t>
  </si>
  <si>
    <t>Add cycle</t>
  </si>
  <si>
    <t>Old Cycle</t>
  </si>
  <si>
    <t>Next ToM-P</t>
  </si>
  <si>
    <t>Next ToM-S</t>
  </si>
  <si>
    <t>12.90-13.95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</si>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</sst>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6" fillId="0" borderId="0" xfId="0" applyFont="1" applyAlignment="1"/>
    <xf numFmtId="0" fontId="0" fillId="2" borderId="6" xfId="0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0" fillId="0" borderId="9" xfId="0" applyBorder="1" applyAlignment="1"/>
    <xf numFmtId="0" fontId="17" fillId="0" borderId="9" xfId="0" applyFont="1" applyBorder="1" applyAlignment="1"/>
    <xf numFmtId="22" fontId="16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/>
    <xf numFmtId="22" fontId="17" fillId="0" borderId="10" xfId="0" applyNumberFormat="1" applyFont="1" applyBorder="1" applyAlignment="1"/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 Aps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90977443609022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-2041</c:v>
                </c:pt>
                <c:pt idx="1">
                  <c:v>0</c:v>
                </c:pt>
                <c:pt idx="2">
                  <c:v>318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-0.88599999999860302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54-46BE-B54D-31E245529D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-2041</c:v>
                </c:pt>
                <c:pt idx="1">
                  <c:v>0</c:v>
                </c:pt>
                <c:pt idx="2">
                  <c:v>318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54-46BE-B54D-31E245529D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-2041</c:v>
                </c:pt>
                <c:pt idx="1">
                  <c:v>0</c:v>
                </c:pt>
                <c:pt idx="2">
                  <c:v>318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9.8000000158208422E-2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54-46BE-B54D-31E245529D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-2041</c:v>
                </c:pt>
                <c:pt idx="1">
                  <c:v>0</c:v>
                </c:pt>
                <c:pt idx="2">
                  <c:v>318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54-46BE-B54D-31E245529D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-2041</c:v>
                </c:pt>
                <c:pt idx="1">
                  <c:v>0</c:v>
                </c:pt>
                <c:pt idx="2">
                  <c:v>318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954-46BE-B54D-31E245529D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-2041</c:v>
                </c:pt>
                <c:pt idx="1">
                  <c:v>0</c:v>
                </c:pt>
                <c:pt idx="2">
                  <c:v>318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54-46BE-B54D-31E245529D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-2041</c:v>
                </c:pt>
                <c:pt idx="1">
                  <c:v>0</c:v>
                </c:pt>
                <c:pt idx="2">
                  <c:v>318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954-46BE-B54D-31E245529D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-2041</c:v>
                </c:pt>
                <c:pt idx="1">
                  <c:v>0</c:v>
                </c:pt>
                <c:pt idx="2">
                  <c:v>318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-0.88335649206952793</c:v>
                </c:pt>
                <c:pt idx="1">
                  <c:v>-1.9610173599647451E-2</c:v>
                </c:pt>
                <c:pt idx="2">
                  <c:v>0.11496666582878076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954-46BE-B54D-31E245529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18328"/>
        <c:axId val="1"/>
      </c:scatterChart>
      <c:valAx>
        <c:axId val="94618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618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19A69B0-F3B6-8D30-67C2-C2CE3F127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1406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36</v>
      </c>
    </row>
    <row r="2" spans="1:7" x14ac:dyDescent="0.2">
      <c r="A2" t="s">
        <v>24</v>
      </c>
      <c r="B2" s="26" t="s">
        <v>37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36733.517</v>
      </c>
      <c r="D4" s="9">
        <v>7.4320000000000004</v>
      </c>
    </row>
    <row r="6" spans="1:7" x14ac:dyDescent="0.2">
      <c r="A6" s="5" t="s">
        <v>1</v>
      </c>
    </row>
    <row r="7" spans="1:7" x14ac:dyDescent="0.2">
      <c r="A7" t="s">
        <v>2</v>
      </c>
      <c r="C7">
        <v>51903.114999999998</v>
      </c>
      <c r="D7" s="29" t="s">
        <v>38</v>
      </c>
    </row>
    <row r="8" spans="1:7" x14ac:dyDescent="0.2">
      <c r="A8" t="s">
        <v>3</v>
      </c>
      <c r="C8">
        <v>7.4320000000000004</v>
      </c>
      <c r="D8" s="29" t="s">
        <v>38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1">
        <f ca="1">INTERCEPT(INDIRECT($G$11):G992,INDIRECT($F$11):F992)</f>
        <v>-1.9610173599647451E-2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17</v>
      </c>
      <c r="B12" s="12"/>
      <c r="C12" s="21">
        <f ca="1">SLOPE(INDIRECT($G$11):G992,INDIRECT($F$11):F992)</f>
        <v>4.2319760826549753E-4</v>
      </c>
      <c r="D12" s="3"/>
      <c r="E12" s="30" t="s">
        <v>41</v>
      </c>
      <c r="F12" s="31" t="s">
        <v>46</v>
      </c>
    </row>
    <row r="13" spans="1:7" x14ac:dyDescent="0.2">
      <c r="A13" s="12" t="s">
        <v>19</v>
      </c>
      <c r="B13" s="12"/>
      <c r="C13" s="3" t="s">
        <v>14</v>
      </c>
      <c r="D13" s="3"/>
      <c r="E13" s="32" t="s">
        <v>42</v>
      </c>
      <c r="F13" s="33">
        <v>1</v>
      </c>
    </row>
    <row r="14" spans="1:7" x14ac:dyDescent="0.2">
      <c r="A14" s="12"/>
      <c r="B14" s="12"/>
      <c r="C14" s="12"/>
      <c r="D14" s="12"/>
      <c r="E14" s="32" t="s">
        <v>33</v>
      </c>
      <c r="F14" s="34">
        <f ca="1">NOW()+15018.5+$C$9/24</f>
        <v>60520.837297453698</v>
      </c>
    </row>
    <row r="15" spans="1:7" x14ac:dyDescent="0.2">
      <c r="A15" s="14" t="s">
        <v>18</v>
      </c>
      <c r="B15" s="12"/>
      <c r="C15" s="15">
        <f ca="1">(C7+C11)+(C8+C12)*INT(MAX(F21:F3533))</f>
        <v>54266.605966665826</v>
      </c>
      <c r="D15" s="16"/>
      <c r="E15" s="32" t="s">
        <v>43</v>
      </c>
      <c r="F15" s="34">
        <f ca="1">ROUND(2*($F$14-$C$7)/$C$8,0)/2+$F$13</f>
        <v>1160.5</v>
      </c>
    </row>
    <row r="16" spans="1:7" x14ac:dyDescent="0.2">
      <c r="A16" s="17" t="s">
        <v>4</v>
      </c>
      <c r="B16" s="12"/>
      <c r="C16" s="18">
        <f ca="1">+C8+C12</f>
        <v>7.4324231976082658</v>
      </c>
      <c r="D16" s="16"/>
      <c r="E16" s="32" t="s">
        <v>34</v>
      </c>
      <c r="F16" s="34">
        <f ca="1">ROUND(2*($F$14-$C$15)/$C$16,0)/2+$F$13</f>
        <v>842.5</v>
      </c>
    </row>
    <row r="17" spans="1:17" ht="13.5" thickBot="1" x14ac:dyDescent="0.25">
      <c r="A17" s="16" t="s">
        <v>30</v>
      </c>
      <c r="B17" s="12"/>
      <c r="C17" s="12">
        <f>COUNT(C21:C2191)</f>
        <v>3</v>
      </c>
      <c r="D17" s="16"/>
      <c r="E17" s="35" t="s">
        <v>44</v>
      </c>
      <c r="F17" s="36">
        <f ca="1">+$C$15+$C$16*$F$16-15018.5-$C$9/24</f>
        <v>45510.318343984123</v>
      </c>
    </row>
    <row r="18" spans="1:17" ht="14.25" thickTop="1" thickBot="1" x14ac:dyDescent="0.25">
      <c r="A18" s="17" t="s">
        <v>5</v>
      </c>
      <c r="B18" s="12"/>
      <c r="C18" s="19">
        <f ca="1">+C15</f>
        <v>54266.605966665826</v>
      </c>
      <c r="D18" s="20">
        <f ca="1">+C16</f>
        <v>7.4324231976082658</v>
      </c>
      <c r="E18" s="38" t="s">
        <v>45</v>
      </c>
      <c r="F18" s="37">
        <f ca="1">+($C$15+$C$16*$F$16)-($C$16/2)-15018.5-$C$9/24</f>
        <v>45506.60213238532</v>
      </c>
    </row>
    <row r="19" spans="1:17" ht="13.5" thickTop="1" x14ac:dyDescent="0.2">
      <c r="A19" s="24" t="s">
        <v>35</v>
      </c>
      <c r="E19" s="25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38</v>
      </c>
      <c r="J20" s="7" t="s">
        <v>47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36733.517</v>
      </c>
      <c r="D21" s="10" t="s">
        <v>14</v>
      </c>
      <c r="E21">
        <f>+(C21-C$7)/C$8</f>
        <v>-2041.1192142088264</v>
      </c>
      <c r="F21">
        <f>ROUND(2*E21,0)/2</f>
        <v>-2041</v>
      </c>
      <c r="G21">
        <f>+C21-(C$7+F21*C$8)</f>
        <v>-0.88599999999860302</v>
      </c>
      <c r="H21">
        <f>+G21</f>
        <v>-0.88599999999860302</v>
      </c>
      <c r="O21">
        <f ca="1">+C$11+C$12*$F21</f>
        <v>-0.88335649206952793</v>
      </c>
      <c r="Q21" s="2">
        <f>+C21-15018.5</f>
        <v>21715.017</v>
      </c>
    </row>
    <row r="22" spans="1:17" x14ac:dyDescent="0.2">
      <c r="A22" t="str">
        <f>$D$7</f>
        <v>VSX</v>
      </c>
      <c r="C22" s="10">
        <f>$C$7</f>
        <v>51903.114999999998</v>
      </c>
      <c r="D22" s="10"/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-1.9610173599647451E-2</v>
      </c>
      <c r="Q22" s="2">
        <f>+C22-15018.5</f>
        <v>36884.614999999998</v>
      </c>
    </row>
    <row r="23" spans="1:17" x14ac:dyDescent="0.2">
      <c r="A23" s="27" t="s">
        <v>39</v>
      </c>
      <c r="B23" s="28" t="s">
        <v>40</v>
      </c>
      <c r="C23" s="27">
        <v>54266.589000000153</v>
      </c>
      <c r="D23" s="27">
        <v>5.0000000000000001E-3</v>
      </c>
      <c r="E23">
        <f>+(C23-C$7)/C$8</f>
        <v>318.01318622176461</v>
      </c>
      <c r="F23">
        <f>ROUND(2*E23,0)/2</f>
        <v>318</v>
      </c>
      <c r="G23">
        <f>+C23-(C$7+F23*C$8)</f>
        <v>9.8000000158208422E-2</v>
      </c>
      <c r="J23">
        <f>+G23</f>
        <v>9.8000000158208422E-2</v>
      </c>
      <c r="O23">
        <f ca="1">+C$11+C$12*$F23</f>
        <v>0.11496666582878076</v>
      </c>
      <c r="Q23" s="2">
        <f>+C23-15018.5</f>
        <v>39248.089000000153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ortState xmlns:xlrd2="http://schemas.microsoft.com/office/spreadsheetml/2017/richdata2" ref="A21:S27">
    <sortCondition ref="C21:C27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2024-07-29T08:05:42Z</dcterms:modified>
</cp:coreProperties>
</file>