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1495623-4F26-4772-8924-3F6038E0E9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3" i="1"/>
  <c r="F23" i="1"/>
  <c r="G23" i="1"/>
  <c r="I23" i="1"/>
  <c r="Q23" i="1"/>
  <c r="E22" i="1"/>
  <c r="F22" i="1"/>
  <c r="G22" i="1"/>
  <c r="I22" i="1"/>
  <c r="Q22" i="1"/>
  <c r="G4" i="1"/>
  <c r="F4" i="1"/>
  <c r="E21" i="1"/>
  <c r="F21" i="1"/>
  <c r="G21" i="1"/>
  <c r="H21" i="1"/>
  <c r="C17" i="1"/>
  <c r="Q21" i="1"/>
  <c r="C11" i="1"/>
  <c r="C12" i="1"/>
  <c r="F15" i="1" l="1"/>
  <c r="O23" i="1"/>
  <c r="C15" i="1"/>
  <c r="O21" i="1"/>
  <c r="O22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<sst xmlns="http://schemas.openxmlformats.org/spreadsheetml/2006/main" count="59" uniqueCount="50">
  <si>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</si>
  <si>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</si>
  <si>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</si>
  <si>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</si>
  <si>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</si>
  <si>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</si>
  <si>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</si>
  <si>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</si>
  <si>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</si>
  <si>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</si>
  <si>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</si>
  <si>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</si>
  <si>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</si>
  <si>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</si>
  <si>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</si>
  <si>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</si>
  <si>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</si>
  <si>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</si>
  <si>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</si>
  <si>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</si>
  <si>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</si>
  <si>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</si>
  <si>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</si>
  <si>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</si>
  <si>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</si>
  <si>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</si>
  <si>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</si>
  <si>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</si>
  <si>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</si>
  <si>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</si>
  <si>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</si>
  <si>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</si>
  <si>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</si>
  <si>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</si>
  <si>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not avail.</t>
  </si>
  <si>
    <t>GCVS 4 Eph.</t>
  </si>
  <si>
    <t>SS Aps / GSC 9265-1104</t>
  </si>
  <si>
    <t>EB</t>
  </si>
  <si>
    <t>IBVS 5652</t>
  </si>
  <si>
    <t>IBVS 5713</t>
  </si>
  <si>
    <t>I</t>
  </si>
  <si>
    <t>OEJV 0048</t>
  </si>
  <si>
    <t xml:space="preserve">Mag </t>
  </si>
  <si>
    <t>Add cycle</t>
  </si>
  <si>
    <t>Old Cycle</t>
  </si>
  <si>
    <t>Next ToM-P</t>
  </si>
  <si>
    <t>Next ToM-S</t>
  </si>
  <si>
    <t>VSX</t>
  </si>
  <si>
    <t>13.30-14.04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</si>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</sst>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/>
    <xf numFmtId="0" fontId="0" fillId="3" borderId="7" xfId="0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20" fillId="0" borderId="10" xfId="0" applyFont="1" applyBorder="1" applyAlignment="1"/>
    <xf numFmtId="0" fontId="19" fillId="0" borderId="10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SS Aps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2839</c:v>
                </c:pt>
                <c:pt idx="2">
                  <c:v>3464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3C-4801-8641-2DF0A15D70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2839</c:v>
                </c:pt>
                <c:pt idx="2">
                  <c:v>3464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1.0064999994938262E-2</c:v>
                </c:pt>
                <c:pt idx="2">
                  <c:v>1.7439999995986E-2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3C-4801-8641-2DF0A15D70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2839</c:v>
                </c:pt>
                <c:pt idx="2">
                  <c:v>3464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3C-4801-8641-2DF0A15D70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2839</c:v>
                </c:pt>
                <c:pt idx="2">
                  <c:v>3464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3C-4801-8641-2DF0A15D70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2839</c:v>
                </c:pt>
                <c:pt idx="2">
                  <c:v>3464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3C-4801-8641-2DF0A15D70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2839</c:v>
                </c:pt>
                <c:pt idx="2">
                  <c:v>3464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3C-4801-8641-2DF0A15D70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2839</c:v>
                </c:pt>
                <c:pt idx="2">
                  <c:v>3464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3C-4801-8641-2DF0A15D70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2839</c:v>
                </c:pt>
                <c:pt idx="2">
                  <c:v>3464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-4.4765015807145779E-4</c:v>
                </c:pt>
                <c:pt idx="1">
                  <c:v>1.2546056231033505E-2</c:v>
                </c:pt>
                <c:pt idx="2">
                  <c:v>1.5406593917962211E-2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3C-4801-8641-2DF0A15D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865032"/>
        <c:axId val="1"/>
      </c:scatterChart>
      <c:valAx>
        <c:axId val="649865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865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97937099967764"/>
          <c:w val="0.6180451127819548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AC4385-AD83-7C90-E9C0-82FEB1338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5703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36</v>
      </c>
      <c r="E1" s="29"/>
      <c r="F1" s="29"/>
      <c r="G1" s="31" t="s">
        <v>37</v>
      </c>
      <c r="H1" s="30" t="s">
        <v>38</v>
      </c>
      <c r="I1" s="27" t="s">
        <v>34</v>
      </c>
      <c r="J1" s="27" t="s">
        <v>34</v>
      </c>
      <c r="K1" s="32">
        <v>51902.135000000002</v>
      </c>
      <c r="L1" s="32">
        <v>0.58266499999999999</v>
      </c>
    </row>
    <row r="2" spans="1:12" ht="12.95" customHeight="1">
      <c r="A2" t="s">
        <v>23</v>
      </c>
      <c r="B2" t="s">
        <v>37</v>
      </c>
      <c r="C2" s="9"/>
    </row>
    <row r="3" spans="1:12" ht="12.95" customHeight="1" thickBot="1"/>
    <row r="4" spans="1:12" ht="12.95" customHeight="1" thickTop="1" thickBot="1">
      <c r="A4" s="26" t="s">
        <v>35</v>
      </c>
      <c r="C4" s="7" t="s">
        <v>34</v>
      </c>
      <c r="D4" s="8" t="s">
        <v>34</v>
      </c>
      <c r="F4" s="22" t="str">
        <f>"F"&amp;E19</f>
        <v>F21</v>
      </c>
      <c r="G4" s="23" t="str">
        <f>"G"&amp;E19</f>
        <v>G21</v>
      </c>
    </row>
    <row r="5" spans="1:12" ht="12.95" customHeight="1" thickTop="1"/>
    <row r="6" spans="1:12" ht="12.95" customHeight="1">
      <c r="A6" s="4" t="s">
        <v>0</v>
      </c>
    </row>
    <row r="7" spans="1:12" ht="12.95" customHeight="1">
      <c r="A7" t="s">
        <v>1</v>
      </c>
      <c r="C7">
        <v>51902.135000000002</v>
      </c>
      <c r="D7" s="38" t="s">
        <v>47</v>
      </c>
    </row>
    <row r="8" spans="1:12" ht="12.95" customHeight="1">
      <c r="A8" t="s">
        <v>2</v>
      </c>
      <c r="C8">
        <v>0.58266499999999999</v>
      </c>
      <c r="D8" s="28" t="s">
        <v>47</v>
      </c>
    </row>
    <row r="9" spans="1:12" ht="12.95" customHeight="1">
      <c r="A9" s="10" t="s">
        <v>29</v>
      </c>
      <c r="B9" s="11"/>
      <c r="C9" s="12">
        <v>-9.5</v>
      </c>
      <c r="D9" s="11" t="s">
        <v>30</v>
      </c>
      <c r="E9" s="11"/>
    </row>
    <row r="10" spans="1:12" ht="12.95" customHeight="1" thickBot="1">
      <c r="A10" s="11"/>
      <c r="B10" s="11"/>
      <c r="C10" s="3" t="s">
        <v>19</v>
      </c>
      <c r="D10" s="3" t="s">
        <v>20</v>
      </c>
      <c r="E10" s="11"/>
    </row>
    <row r="11" spans="1:12" ht="12.95" customHeight="1">
      <c r="A11" s="11" t="s">
        <v>14</v>
      </c>
      <c r="B11" s="11"/>
      <c r="C11" s="21">
        <f ca="1">INTERCEPT(INDIRECT($G$4):G992,INDIRECT($F$4):F992)</f>
        <v>-4.4765015807145779E-4</v>
      </c>
      <c r="D11" s="13"/>
      <c r="E11" s="11"/>
    </row>
    <row r="12" spans="1:12" ht="12.95" customHeight="1">
      <c r="A12" s="11" t="s">
        <v>15</v>
      </c>
      <c r="B12" s="11"/>
      <c r="C12" s="21">
        <f ca="1">SLOPE(INDIRECT($G$4):G992,INDIRECT($F$4):F992)</f>
        <v>4.5768602990859326E-6</v>
      </c>
      <c r="D12" s="13"/>
      <c r="E12" s="39" t="s">
        <v>42</v>
      </c>
      <c r="F12" s="40" t="s">
        <v>48</v>
      </c>
    </row>
    <row r="13" spans="1:12" ht="12.95" customHeight="1">
      <c r="A13" s="11" t="s">
        <v>18</v>
      </c>
      <c r="B13" s="11"/>
      <c r="C13" s="13" t="s">
        <v>12</v>
      </c>
      <c r="D13" s="13"/>
      <c r="E13" s="41" t="s">
        <v>43</v>
      </c>
      <c r="F13" s="42">
        <v>1</v>
      </c>
    </row>
    <row r="14" spans="1:12" ht="12.95" customHeight="1">
      <c r="A14" s="11"/>
      <c r="B14" s="11"/>
      <c r="C14" s="11"/>
      <c r="D14" s="11"/>
      <c r="E14" s="41" t="s">
        <v>31</v>
      </c>
      <c r="F14" s="43">
        <f ca="1">NOW()+15018.5+$C$9/24</f>
        <v>60520.841843287031</v>
      </c>
    </row>
    <row r="15" spans="1:12" ht="12.95" customHeight="1">
      <c r="A15" s="14" t="s">
        <v>16</v>
      </c>
      <c r="B15" s="11"/>
      <c r="C15" s="15">
        <f ca="1">(C7+C11)+(C8+C12)*INT(MAX(F21:F3533))</f>
        <v>53920.501966593918</v>
      </c>
      <c r="D15" s="16"/>
      <c r="E15" s="41" t="s">
        <v>44</v>
      </c>
      <c r="F15" s="43">
        <f ca="1">ROUND(2*($F$14-$C$7)/$C$8,0)/2+$F$13</f>
        <v>14793</v>
      </c>
    </row>
    <row r="16" spans="1:12" ht="12.95" customHeight="1">
      <c r="A16" s="17" t="s">
        <v>3</v>
      </c>
      <c r="B16" s="11"/>
      <c r="C16" s="18">
        <f ca="1">+C8+C12</f>
        <v>0.58266957686029908</v>
      </c>
      <c r="D16" s="16"/>
      <c r="E16" s="41" t="s">
        <v>32</v>
      </c>
      <c r="F16" s="43">
        <f ca="1">ROUND(2*($F$14-$C$15)/$C$16,0)/2+$F$13</f>
        <v>11329</v>
      </c>
    </row>
    <row r="17" spans="1:17" ht="12.95" customHeight="1" thickBot="1">
      <c r="A17" s="16" t="s">
        <v>28</v>
      </c>
      <c r="B17" s="11"/>
      <c r="C17" s="11">
        <f>COUNT(C21:C2191)</f>
        <v>3</v>
      </c>
      <c r="D17" s="16"/>
      <c r="E17" s="44" t="s">
        <v>45</v>
      </c>
      <c r="F17" s="45">
        <f ca="1">+$C$15+$C$16*$F$16-15018.5-$C$9/24</f>
        <v>45503.461436177582</v>
      </c>
    </row>
    <row r="18" spans="1:17" ht="12.95" customHeight="1" thickTop="1" thickBot="1">
      <c r="A18" s="17" t="s">
        <v>4</v>
      </c>
      <c r="B18" s="11"/>
      <c r="C18" s="19">
        <f ca="1">+C15</f>
        <v>53920.501966593918</v>
      </c>
      <c r="D18" s="20">
        <f ca="1">+C16</f>
        <v>0.58266957686029908</v>
      </c>
      <c r="E18" s="47" t="s">
        <v>46</v>
      </c>
      <c r="F18" s="46">
        <f ca="1">+($C$15+$C$16*$F$16)-($C$16/2)-15018.5-$C$9/24</f>
        <v>45503.170101389151</v>
      </c>
    </row>
    <row r="19" spans="1:17" ht="12.95" customHeight="1" thickTop="1">
      <c r="A19" s="24" t="s">
        <v>33</v>
      </c>
      <c r="E19" s="25">
        <v>21</v>
      </c>
    </row>
    <row r="20" spans="1:17" ht="12.95" customHeight="1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47</v>
      </c>
      <c r="I20" s="6" t="s">
        <v>49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ht="12.95" customHeight="1">
      <c r="A21" s="28" t="s">
        <v>38</v>
      </c>
      <c r="C21" s="9">
        <v>51902.135000000002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-4.4765015807145779E-4</v>
      </c>
      <c r="Q21" s="2">
        <f>+C21-15018.5</f>
        <v>36883.635000000002</v>
      </c>
    </row>
    <row r="22" spans="1:17" ht="12.95" customHeight="1">
      <c r="A22" s="33" t="s">
        <v>39</v>
      </c>
      <c r="B22" s="34" t="s">
        <v>40</v>
      </c>
      <c r="C22" s="33">
        <v>53556.330999999998</v>
      </c>
      <c r="D22" s="33">
        <v>6.0000000000000001E-3</v>
      </c>
      <c r="E22">
        <f>+(C22-C$7)/C$8</f>
        <v>2839.0172740768644</v>
      </c>
      <c r="F22">
        <f>ROUND(2*E22,0)/2</f>
        <v>2839</v>
      </c>
      <c r="G22">
        <f>+C22-(C$7+F22*C$8)</f>
        <v>1.0064999994938262E-2</v>
      </c>
      <c r="I22">
        <f>+G22</f>
        <v>1.0064999994938262E-2</v>
      </c>
      <c r="O22">
        <f ca="1">+C$11+C$12*$F22</f>
        <v>1.2546056231033505E-2</v>
      </c>
      <c r="Q22" s="2">
        <f>+C22-15018.5</f>
        <v>38537.830999999998</v>
      </c>
    </row>
    <row r="23" spans="1:17" ht="12.95" customHeight="1">
      <c r="A23" s="35" t="s">
        <v>41</v>
      </c>
      <c r="B23" s="36" t="s">
        <v>40</v>
      </c>
      <c r="C23" s="37">
        <v>53920.504000000001</v>
      </c>
      <c r="D23" s="37">
        <v>5.0000000000000001E-3</v>
      </c>
      <c r="E23">
        <f>+(C23-C$7)/C$8</f>
        <v>3464.0299314357285</v>
      </c>
      <c r="F23">
        <f>ROUND(2*E23,0)/2</f>
        <v>3464</v>
      </c>
      <c r="G23">
        <f>+C23-(C$7+F23*C$8)</f>
        <v>1.7439999995986E-2</v>
      </c>
      <c r="I23">
        <f>+G23</f>
        <v>1.7439999995986E-2</v>
      </c>
      <c r="O23">
        <f ca="1">+C$11+C$12*$F23</f>
        <v>1.5406593917962211E-2</v>
      </c>
      <c r="Q23" s="2">
        <f>+C23-15018.5</f>
        <v>38902.004000000001</v>
      </c>
    </row>
    <row r="24" spans="1:17" ht="12.95" customHeight="1">
      <c r="Q24" s="2"/>
    </row>
    <row r="25" spans="1:17" ht="12.95" customHeight="1">
      <c r="C25" s="9"/>
      <c r="D25" s="9"/>
      <c r="Q25" s="2"/>
    </row>
    <row r="26" spans="1:17" ht="12.95" customHeight="1">
      <c r="C26" s="9"/>
      <c r="D26" s="9"/>
      <c r="Q26" s="2"/>
    </row>
    <row r="27" spans="1:17" ht="12.95" customHeight="1">
      <c r="C27" s="9"/>
      <c r="D27" s="9"/>
      <c r="Q27" s="2"/>
    </row>
    <row r="28" spans="1:17" ht="12.95" customHeight="1">
      <c r="C28" s="9"/>
      <c r="D28" s="9"/>
      <c r="Q28" s="2"/>
    </row>
    <row r="29" spans="1:17" ht="12.95" customHeight="1">
      <c r="C29" s="9"/>
      <c r="D29" s="9"/>
      <c r="Q29" s="2"/>
    </row>
    <row r="30" spans="1:17" ht="12.95" customHeight="1">
      <c r="C30" s="9"/>
      <c r="D30" s="9"/>
      <c r="Q30" s="2"/>
    </row>
    <row r="31" spans="1:17" ht="12.95" customHeight="1">
      <c r="C31" s="9"/>
      <c r="D31" s="9"/>
      <c r="Q31" s="2"/>
    </row>
    <row r="32" spans="1:17" ht="12.95" customHeight="1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2024-07-29T08:12:15Z</dcterms:modified>
</cp:coreProperties>
</file>