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EE6A9E-5172-4B61-9978-A8B79C5F2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C26" i="1"/>
  <c r="C17" i="1" s="1"/>
  <c r="A26" i="1"/>
  <c r="F14" i="1"/>
  <c r="E28" i="1"/>
  <c r="F28" i="1" s="1"/>
  <c r="G28" i="1" s="1"/>
  <c r="K28" i="1" s="1"/>
  <c r="G11" i="1"/>
  <c r="F11" i="1"/>
  <c r="E21" i="1"/>
  <c r="F21" i="1" s="1"/>
  <c r="G21" i="1" s="1"/>
  <c r="I21" i="1" s="1"/>
  <c r="E23" i="1"/>
  <c r="F23" i="1"/>
  <c r="G23" i="1" s="1"/>
  <c r="I23" i="1" s="1"/>
  <c r="E24" i="1"/>
  <c r="F24" i="1"/>
  <c r="G24" i="1"/>
  <c r="I24" i="1" s="1"/>
  <c r="E25" i="1"/>
  <c r="F25" i="1" s="1"/>
  <c r="G25" i="1" s="1"/>
  <c r="I25" i="1" s="1"/>
  <c r="E27" i="1"/>
  <c r="F27" i="1" s="1"/>
  <c r="G27" i="1" s="1"/>
  <c r="K27" i="1" s="1"/>
  <c r="Q28" i="1"/>
  <c r="Q21" i="1"/>
  <c r="Q23" i="1"/>
  <c r="Q24" i="1"/>
  <c r="Q25" i="1"/>
  <c r="Q27" i="1"/>
  <c r="E22" i="1"/>
  <c r="F22" i="1" s="1"/>
  <c r="G22" i="1" s="1"/>
  <c r="K22" i="1" s="1"/>
  <c r="R24" i="1"/>
  <c r="Q22" i="1"/>
  <c r="C11" i="1"/>
  <c r="F15" i="1" l="1"/>
  <c r="C12" i="1"/>
  <c r="O26" i="1" l="1"/>
  <c r="O28" i="1"/>
  <c r="O27" i="1"/>
  <c r="O21" i="1"/>
  <c r="C16" i="1"/>
  <c r="D18" i="1" s="1"/>
  <c r="O23" i="1"/>
  <c r="O22" i="1"/>
  <c r="C15" i="1"/>
  <c r="O25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<sst xmlns="http://schemas.openxmlformats.org/spreadsheetml/2006/main" count="63" uniqueCount="55">
  <si>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</si>
  <si>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</si>
  <si>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</si>
  <si>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</si>
  <si>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</si>
  <si>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</si>
  <si>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</si>
  <si>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</si>
  <si>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</si>
  <si>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</si>
  <si>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</si>
  <si>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</si>
  <si>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</si>
  <si>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</si>
  <si>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</si>
  <si>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</si>
  <si>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</si>
  <si>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</si>
  <si>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</si>
  <si>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</si>
  <si>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</si>
  <si>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</si>
  <si>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</si>
  <si>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</si>
  <si>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</si>
  <si>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</si>
  <si>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</si>
  <si>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</si>
  <si>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</si>
  <si>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</si>
  <si>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</si>
  <si>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</si>
  <si>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</si>
  <si>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</si>
  <si>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SY Aps / GSC 9265-0960</t>
  </si>
  <si>
    <t>OEJV 0048</t>
  </si>
  <si>
    <t>I</t>
  </si>
  <si>
    <t>II</t>
  </si>
  <si>
    <t>OEJV 0073</t>
  </si>
  <si>
    <t>not avail.</t>
  </si>
  <si>
    <t>Paschke Anton</t>
  </si>
  <si>
    <t>Hund Friedhelm</t>
  </si>
  <si>
    <t>Krakow</t>
  </si>
  <si>
    <t>pg</t>
  </si>
  <si>
    <t>CCD</t>
  </si>
  <si>
    <t xml:space="preserve">Mag </t>
  </si>
  <si>
    <t>Add cycle</t>
  </si>
  <si>
    <t>Old Cycle</t>
  </si>
  <si>
    <t>Next ToM-P</t>
  </si>
  <si>
    <t>Next ToM-S</t>
  </si>
  <si>
    <t>12.7-13.40</t>
  </si>
  <si>
    <t>EW</t>
  </si>
  <si>
    <t>VSX</t>
  </si>
  <si>
    <t>vis?</t>
  </si>
  <si>
    <t>JAVSO,44,26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</si>
</sst>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horizontal="left"/>
    </xf>
    <xf numFmtId="0" fontId="11" fillId="0" borderId="6" xfId="0" applyFont="1" applyBorder="1">
      <alignment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right" vertical="center"/>
    </xf>
    <xf numFmtId="0" fontId="19" fillId="0" borderId="13" xfId="0" applyFont="1" applyBorder="1" applyAlignment="1"/>
    <xf numFmtId="0" fontId="18" fillId="0" borderId="13" xfId="0" applyFont="1" applyBorder="1" applyAlignment="1">
      <alignment horizontal="right" vertical="center"/>
    </xf>
    <xf numFmtId="22" fontId="17" fillId="0" borderId="12" xfId="0" applyNumberFormat="1" applyFont="1" applyBorder="1" applyAlignment="1">
      <alignment horizontal="right" vertical="center"/>
    </xf>
    <xf numFmtId="22" fontId="18" fillId="0" borderId="13" xfId="0" applyNumberFormat="1" applyFont="1" applyBorder="1" applyAlignment="1">
      <alignment horizontal="right" vertical="center"/>
    </xf>
    <xf numFmtId="22" fontId="18" fillId="0" borderId="14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51-4DBA-AE80-93AB4243C4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-1.1453999999503139E-2</c:v>
                </c:pt>
                <c:pt idx="2">
                  <c:v>-4.3235000048298389E-3</c:v>
                </c:pt>
                <c:pt idx="3">
                  <c:v>-4.1570000030333176E-3</c:v>
                </c:pt>
                <c:pt idx="4">
                  <c:v>-2.6104999997187406E-3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51-4DBA-AE80-93AB4243C4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51-4DBA-AE80-93AB4243C4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-6.4130000027944334E-3</c:v>
                </c:pt>
                <c:pt idx="6">
                  <c:v>-2.1179999894229695E-3</c:v>
                </c:pt>
                <c:pt idx="7">
                  <c:v>8.5705000019515865E-3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51-4DBA-AE80-93AB4243C4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51-4DBA-AE80-93AB4243C4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51-4DBA-AE80-93AB4243C4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1E-3</c:v>
                  </c:pt>
                  <c:pt idx="4">
                    <c:v>2E-3</c:v>
                  </c:pt>
                  <c:pt idx="6">
                    <c:v>3.0000000000000001E-3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51-4DBA-AE80-93AB4243C4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-8478</c:v>
                </c:pt>
                <c:pt idx="1">
                  <c:v>-6341</c:v>
                </c:pt>
                <c:pt idx="2">
                  <c:v>-2589.5</c:v>
                </c:pt>
                <c:pt idx="3">
                  <c:v>-1249</c:v>
                </c:pt>
                <c:pt idx="4">
                  <c:v>-1248.5</c:v>
                </c:pt>
                <c:pt idx="5">
                  <c:v>0</c:v>
                </c:pt>
                <c:pt idx="6">
                  <c:v>74</c:v>
                </c:pt>
                <c:pt idx="7">
                  <c:v>10868.5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-9.2076458189324466E-3</c:v>
                </c:pt>
                <c:pt idx="1">
                  <c:v>-7.2688223582073452E-3</c:v>
                </c:pt>
                <c:pt idx="2">
                  <c:v>-3.8652209483289058E-3</c:v>
                </c:pt>
                <c:pt idx="3">
                  <c:v>-2.6490333727079421E-3</c:v>
                </c:pt>
                <c:pt idx="4">
                  <c:v>-2.6485797406394524E-3</c:v>
                </c:pt>
                <c:pt idx="5">
                  <c:v>-1.5158604656205982E-3</c:v>
                </c:pt>
                <c:pt idx="6">
                  <c:v>-1.4487229194841183E-3</c:v>
                </c:pt>
                <c:pt idx="7">
                  <c:v>8.3447398071406463E-3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51-4DBA-AE80-93AB4243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160592"/>
        <c:axId val="1"/>
      </c:scatterChart>
      <c:valAx>
        <c:axId val="46116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1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73684210526315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38101</xdr:rowOff>
    </xdr:from>
    <xdr:to>
      <xdr:col>17</xdr:col>
      <xdr:colOff>266700</xdr:colOff>
      <xdr:row>18</xdr:row>
      <xdr:rowOff>85725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8A36D9F-3BB4-DE9D-6CF1-741BC6047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7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s="26" t="s">
        <v>51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  <c r="E6" s="35" t="s">
        <v>42</v>
      </c>
    </row>
    <row r="7" spans="1:7" x14ac:dyDescent="0.2">
      <c r="A7" t="s">
        <v>2</v>
      </c>
      <c r="C7">
        <v>54268.65</v>
      </c>
      <c r="D7" s="27" t="s">
        <v>52</v>
      </c>
      <c r="E7" s="36">
        <v>51904.065000000002</v>
      </c>
    </row>
    <row r="8" spans="1:7" x14ac:dyDescent="0.2">
      <c r="A8" t="s">
        <v>3</v>
      </c>
      <c r="C8">
        <v>0.27890700000000002</v>
      </c>
      <c r="D8" s="34" t="s">
        <v>52</v>
      </c>
      <c r="E8" s="37">
        <v>0.27890799999999999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-1.5158604656205982E-3</v>
      </c>
      <c r="D11" s="3"/>
      <c r="E11" s="12"/>
      <c r="F11" s="22" t="str">
        <f>"F"&amp;E19</f>
        <v>F22</v>
      </c>
      <c r="G11" s="23" t="str">
        <f>"G"&amp;E19</f>
        <v>G22</v>
      </c>
    </row>
    <row r="12" spans="1:7" x14ac:dyDescent="0.2">
      <c r="A12" s="12" t="s">
        <v>17</v>
      </c>
      <c r="B12" s="12"/>
      <c r="C12" s="21">
        <f ca="1">SLOPE(INDIRECT($G$11):G992,INDIRECT($F$11):F992)</f>
        <v>9.0726413697945851E-7</v>
      </c>
      <c r="D12" s="3"/>
      <c r="E12" s="38" t="s">
        <v>45</v>
      </c>
      <c r="F12" s="39" t="s">
        <v>50</v>
      </c>
    </row>
    <row r="13" spans="1:7" x14ac:dyDescent="0.2">
      <c r="A13" s="12" t="s">
        <v>19</v>
      </c>
      <c r="B13" s="12"/>
      <c r="C13" s="3" t="s">
        <v>14</v>
      </c>
      <c r="D13" s="3"/>
      <c r="E13" s="40" t="s">
        <v>46</v>
      </c>
      <c r="F13" s="41">
        <v>1</v>
      </c>
    </row>
    <row r="14" spans="1:7" x14ac:dyDescent="0.2">
      <c r="A14" s="12"/>
      <c r="B14" s="12"/>
      <c r="C14" s="12"/>
      <c r="D14" s="12"/>
      <c r="E14" s="40" t="s">
        <v>31</v>
      </c>
      <c r="F14" s="42">
        <f ca="1">NOW()+15018.5+$C$9/24</f>
        <v>60520.84207997685</v>
      </c>
    </row>
    <row r="15" spans="1:7" x14ac:dyDescent="0.2">
      <c r="A15" s="14" t="s">
        <v>18</v>
      </c>
      <c r="B15" s="12"/>
      <c r="C15" s="15">
        <f ca="1">(C7+C11)+(C8+C12)*INT(MAX(F21:F3533))</f>
        <v>57299.81962028618</v>
      </c>
      <c r="D15" s="16"/>
      <c r="E15" s="40" t="s">
        <v>47</v>
      </c>
      <c r="F15" s="42">
        <f ca="1">ROUND(2*($F$14-$C$7)/$C$8,0)/2+$F$13</f>
        <v>22418</v>
      </c>
    </row>
    <row r="16" spans="1:7" x14ac:dyDescent="0.2">
      <c r="A16" s="17" t="s">
        <v>4</v>
      </c>
      <c r="B16" s="12"/>
      <c r="C16" s="18">
        <f ca="1">+C8+C12</f>
        <v>0.278907907264137</v>
      </c>
      <c r="D16" s="16"/>
      <c r="E16" s="40" t="s">
        <v>32</v>
      </c>
      <c r="F16" s="42">
        <f ca="1">ROUND(2*($F$14-$C$15)/$C$16,0)/2+$F$13</f>
        <v>11549.5</v>
      </c>
    </row>
    <row r="17" spans="1:21" ht="13.5" thickBot="1" x14ac:dyDescent="0.25">
      <c r="A17" s="16" t="s">
        <v>28</v>
      </c>
      <c r="B17" s="12"/>
      <c r="C17" s="12">
        <f>COUNT(C21:C2191)</f>
        <v>8</v>
      </c>
      <c r="D17" s="16"/>
      <c r="E17" s="43" t="s">
        <v>48</v>
      </c>
      <c r="F17" s="44">
        <f ca="1">+$C$15+$C$16*$F$16-15018.5-$C$9/24</f>
        <v>45502.962328566668</v>
      </c>
    </row>
    <row r="18" spans="1:21" ht="14.25" thickTop="1" thickBot="1" x14ac:dyDescent="0.25">
      <c r="A18" s="17" t="s">
        <v>5</v>
      </c>
      <c r="B18" s="12"/>
      <c r="C18" s="19">
        <f ca="1">+C15</f>
        <v>57299.81962028618</v>
      </c>
      <c r="D18" s="20">
        <f ca="1">+C16</f>
        <v>0.278907907264137</v>
      </c>
      <c r="E18" s="46" t="s">
        <v>49</v>
      </c>
      <c r="F18" s="45">
        <f ca="1">+($C$15+$C$16*$F$16)-($C$16/2)-15018.5-$C$9/24</f>
        <v>45502.822874613033</v>
      </c>
    </row>
    <row r="19" spans="1:21" ht="13.5" thickTop="1" x14ac:dyDescent="0.2">
      <c r="A19" s="24" t="s">
        <v>33</v>
      </c>
      <c r="E19" s="25">
        <v>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53</v>
      </c>
      <c r="J20" s="7" t="s">
        <v>52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21" x14ac:dyDescent="0.2">
      <c r="A21" t="s">
        <v>40</v>
      </c>
      <c r="C21" s="10">
        <v>51904.065000000002</v>
      </c>
      <c r="D21" s="10"/>
      <c r="E21">
        <f t="shared" ref="E21:E28" si="0">+(C21-C$7)/C$8</f>
        <v>-8478.0410674525883</v>
      </c>
      <c r="F21">
        <f t="shared" ref="F21:F28" si="1">ROUND(2*E21,0)/2</f>
        <v>-8478</v>
      </c>
      <c r="G21">
        <f t="shared" ref="G21:G28" si="2">+C21-(C$7+F21*C$8)</f>
        <v>-1.1453999999503139E-2</v>
      </c>
      <c r="I21">
        <f>+G21</f>
        <v>-1.1453999999503139E-2</v>
      </c>
      <c r="O21">
        <f t="shared" ref="O21:O28" ca="1" si="3">+C$11+C$12*$F21</f>
        <v>-9.2076458189324466E-3</v>
      </c>
      <c r="Q21" s="2">
        <f t="shared" ref="Q21:Q28" si="4">+C21-15018.5</f>
        <v>36885.565000000002</v>
      </c>
      <c r="U21" s="27" t="s">
        <v>42</v>
      </c>
    </row>
    <row r="22" spans="1:21" x14ac:dyDescent="0.2">
      <c r="A22" t="s">
        <v>12</v>
      </c>
      <c r="C22" s="10">
        <v>52500.094299999997</v>
      </c>
      <c r="D22" s="10" t="s">
        <v>14</v>
      </c>
      <c r="E22">
        <f t="shared" si="0"/>
        <v>-6341.0229933275405</v>
      </c>
      <c r="F22">
        <f t="shared" si="1"/>
        <v>-6341</v>
      </c>
      <c r="G22">
        <f t="shared" si="2"/>
        <v>-6.4130000027944334E-3</v>
      </c>
      <c r="K22">
        <f>+G22</f>
        <v>-6.4130000027944334E-3</v>
      </c>
      <c r="O22">
        <f t="shared" ca="1" si="3"/>
        <v>-7.2688223582073452E-3</v>
      </c>
      <c r="Q22" s="2">
        <f t="shared" si="4"/>
        <v>37481.594299999997</v>
      </c>
    </row>
    <row r="23" spans="1:21" x14ac:dyDescent="0.2">
      <c r="A23" t="s">
        <v>41</v>
      </c>
      <c r="C23" s="10">
        <v>53546.415999999997</v>
      </c>
      <c r="D23" s="10"/>
      <c r="E23">
        <f t="shared" si="0"/>
        <v>-2589.5155015829791</v>
      </c>
      <c r="F23">
        <f t="shared" si="1"/>
        <v>-2589.5</v>
      </c>
      <c r="G23">
        <f t="shared" si="2"/>
        <v>-4.3235000048298389E-3</v>
      </c>
      <c r="I23">
        <f>+G23</f>
        <v>-4.3235000048298389E-3</v>
      </c>
      <c r="O23">
        <f t="shared" ca="1" si="3"/>
        <v>-3.8652209483289058E-3</v>
      </c>
      <c r="Q23" s="2">
        <f t="shared" si="4"/>
        <v>38527.915999999997</v>
      </c>
    </row>
    <row r="24" spans="1:21" x14ac:dyDescent="0.2">
      <c r="A24" s="28" t="s">
        <v>35</v>
      </c>
      <c r="B24" s="29" t="s">
        <v>36</v>
      </c>
      <c r="C24" s="30">
        <v>53920.290999999997</v>
      </c>
      <c r="D24" s="30">
        <v>1E-3</v>
      </c>
      <c r="E24">
        <f t="shared" si="0"/>
        <v>-1249.0149046097947</v>
      </c>
      <c r="F24">
        <f t="shared" si="1"/>
        <v>-1249</v>
      </c>
      <c r="G24">
        <f t="shared" si="2"/>
        <v>-4.1570000030333176E-3</v>
      </c>
      <c r="I24">
        <f>+G24</f>
        <v>-4.1570000030333176E-3</v>
      </c>
      <c r="O24">
        <f t="shared" ca="1" si="3"/>
        <v>-2.6490333727079421E-3</v>
      </c>
      <c r="Q24" s="2">
        <f t="shared" si="4"/>
        <v>38901.790999999997</v>
      </c>
      <c r="R24" t="str">
        <f>IF(ABS(C24-C21)&lt;0.00001,1,"")</f>
        <v/>
      </c>
    </row>
    <row r="25" spans="1:21" x14ac:dyDescent="0.2">
      <c r="A25" s="28" t="s">
        <v>35</v>
      </c>
      <c r="B25" s="29" t="s">
        <v>37</v>
      </c>
      <c r="C25" s="30">
        <v>53920.432000000001</v>
      </c>
      <c r="D25" s="30">
        <v>2E-3</v>
      </c>
      <c r="E25">
        <f t="shared" si="0"/>
        <v>-1248.5093597507439</v>
      </c>
      <c r="F25">
        <f t="shared" si="1"/>
        <v>-1248.5</v>
      </c>
      <c r="G25">
        <f t="shared" si="2"/>
        <v>-2.6104999997187406E-3</v>
      </c>
      <c r="I25">
        <f>+G25</f>
        <v>-2.6104999997187406E-3</v>
      </c>
      <c r="O25">
        <f t="shared" ca="1" si="3"/>
        <v>-2.6485797406394524E-3</v>
      </c>
      <c r="Q25" s="2">
        <f t="shared" si="4"/>
        <v>38901.932000000001</v>
      </c>
    </row>
    <row r="26" spans="1:21" x14ac:dyDescent="0.2">
      <c r="A26" t="str">
        <f>$D$7</f>
        <v>VSX</v>
      </c>
      <c r="C26" s="10">
        <f>$C$7</f>
        <v>54268.65</v>
      </c>
      <c r="D26" s="10"/>
      <c r="E26">
        <f t="shared" si="0"/>
        <v>0</v>
      </c>
      <c r="F26">
        <f t="shared" si="1"/>
        <v>0</v>
      </c>
      <c r="G26">
        <f t="shared" si="2"/>
        <v>0</v>
      </c>
      <c r="J26">
        <f>+G26</f>
        <v>0</v>
      </c>
      <c r="O26">
        <f t="shared" ca="1" si="3"/>
        <v>-1.5158604656205982E-3</v>
      </c>
      <c r="Q26" s="2">
        <f t="shared" si="4"/>
        <v>39250.15</v>
      </c>
    </row>
    <row r="27" spans="1:21" x14ac:dyDescent="0.2">
      <c r="A27" s="30" t="s">
        <v>38</v>
      </c>
      <c r="B27" s="29" t="s">
        <v>36</v>
      </c>
      <c r="C27" s="30">
        <v>54289.287000000011</v>
      </c>
      <c r="D27" s="30">
        <v>3.0000000000000001E-3</v>
      </c>
      <c r="E27">
        <f t="shared" si="0"/>
        <v>73.99240607087566</v>
      </c>
      <c r="F27">
        <f t="shared" si="1"/>
        <v>74</v>
      </c>
      <c r="G27">
        <f t="shared" si="2"/>
        <v>-2.1179999894229695E-3</v>
      </c>
      <c r="K27">
        <f>+G27</f>
        <v>-2.1179999894229695E-3</v>
      </c>
      <c r="O27">
        <f t="shared" ca="1" si="3"/>
        <v>-1.4487229194841183E-3</v>
      </c>
      <c r="Q27" s="2">
        <f t="shared" si="4"/>
        <v>39270.787000000011</v>
      </c>
    </row>
    <row r="28" spans="1:21" x14ac:dyDescent="0.2">
      <c r="A28" s="31" t="s">
        <v>54</v>
      </c>
      <c r="B28" s="32" t="s">
        <v>37</v>
      </c>
      <c r="C28" s="33">
        <v>57299.959300000002</v>
      </c>
      <c r="D28" s="33">
        <v>2.9999999999999997E-4</v>
      </c>
      <c r="E28">
        <f t="shared" si="0"/>
        <v>10868.530728880956</v>
      </c>
      <c r="F28">
        <f t="shared" si="1"/>
        <v>10868.5</v>
      </c>
      <c r="G28">
        <f t="shared" si="2"/>
        <v>8.5705000019515865E-3</v>
      </c>
      <c r="K28">
        <f>+G28</f>
        <v>8.5705000019515865E-3</v>
      </c>
      <c r="O28">
        <f t="shared" ca="1" si="3"/>
        <v>8.3447398071406463E-3</v>
      </c>
      <c r="Q28" s="2">
        <f t="shared" si="4"/>
        <v>42281.459300000002</v>
      </c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V30">
    <sortCondition ref="C21:C30"/>
  </sortState>
  <phoneticPr fontId="8" type="noConversion"/>
  <hyperlinks>
    <hyperlink ref="H64867" r:id="rId1" display="http://vsolj.cetus-net.org/bulletin.html" xr:uid="{00000000-0004-0000-0000-000000000000}"/>
    <hyperlink ref="H64860" r:id="rId2" display="http://vsolj.cetus-net.org/bulletin.html" xr:uid="{00000000-0004-0000-0000-000001000000}"/>
    <hyperlink ref="AP2357" r:id="rId3" display="http://cdsbib.u-strasbg.fr/cgi-bin/cdsbib?1990RMxAA..21..381G" xr:uid="{00000000-0004-0000-0000-000002000000}"/>
    <hyperlink ref="AP2360" r:id="rId4" display="http://cdsbib.u-strasbg.fr/cgi-bin/cdsbib?1990RMxAA..21..381G" xr:uid="{00000000-0004-0000-0000-000003000000}"/>
    <hyperlink ref="AP2358" r:id="rId5" display="http://cdsbib.u-strasbg.fr/cgi-bin/cdsbib?1990RMxAA..21..381G" xr:uid="{00000000-0004-0000-0000-000004000000}"/>
    <hyperlink ref="AP2336" r:id="rId6" display="http://cdsbib.u-strasbg.fr/cgi-bin/cdsbib?1990RMxAA..21..381G" xr:uid="{00000000-0004-0000-0000-000005000000}"/>
    <hyperlink ref="I64867" r:id="rId7" display="http://vsolj.cetus-net.org/bulletin.html" xr:uid="{00000000-0004-0000-0000-000006000000}"/>
    <hyperlink ref="AQ2470" r:id="rId8" display="http://cdsbib.u-strasbg.fr/cgi-bin/cdsbib?1990RMxAA..21..381G" xr:uid="{00000000-0004-0000-0000-000007000000}"/>
    <hyperlink ref="AQ739" r:id="rId9" display="http://cdsbib.u-strasbg.fr/cgi-bin/cdsbib?1990RMxAA..21..381G" xr:uid="{00000000-0004-0000-0000-000008000000}"/>
    <hyperlink ref="AQ2471" r:id="rId10" display="http://cdsbib.u-strasbg.fr/cgi-bin/cdsbib?1990RMxAA..21..381G" xr:uid="{00000000-0004-0000-0000-000009000000}"/>
    <hyperlink ref="H64864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</dc:creator>
  <cp:lastModifiedBy>R &amp; B</cp:lastModifiedBy>
  <cp:lastPrinted>2000-12-22T07:04:52Z</cp:lastPrinted>
  <dcterms:created xsi:type="dcterms:W3CDTF">2000-12-22T06:48:39Z</dcterms:created>
  <dcterms:modified xsi:type="dcterms:W3CDTF">2024-07-29T08:12:35Z</dcterms:modified>
</cp:coreProperties>
</file>