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3E43835-2A86-4751-9638-C44023C726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F16" i="1"/>
  <c r="F17" i="1" s="1"/>
  <c r="C7" i="1"/>
  <c r="E22" i="1"/>
  <c r="F22" i="1"/>
  <c r="G22" i="1"/>
  <c r="H22" i="1"/>
  <c r="C8" i="1"/>
  <c r="E24" i="1"/>
  <c r="F24" i="1"/>
  <c r="E27" i="1"/>
  <c r="F27" i="1"/>
  <c r="E28" i="1"/>
  <c r="F28" i="1"/>
  <c r="E32" i="1"/>
  <c r="F32" i="1"/>
  <c r="E33" i="1"/>
  <c r="F33" i="1"/>
  <c r="G33" i="1"/>
  <c r="I33" i="1"/>
  <c r="E34" i="1"/>
  <c r="F34" i="1"/>
  <c r="G34" i="1"/>
  <c r="J34" i="1"/>
  <c r="E35" i="1"/>
  <c r="F35" i="1"/>
  <c r="G35" i="1"/>
  <c r="K35" i="1"/>
  <c r="E36" i="1"/>
  <c r="F36" i="1"/>
  <c r="G36" i="1"/>
  <c r="K36" i="1"/>
  <c r="E37" i="1"/>
  <c r="F37" i="1"/>
  <c r="G37" i="1"/>
  <c r="K37" i="1"/>
  <c r="Q21" i="1"/>
  <c r="Q22" i="1"/>
  <c r="Q23" i="1"/>
  <c r="Q24" i="1"/>
  <c r="Q25" i="1"/>
  <c r="Q26" i="1"/>
  <c r="Q27" i="1"/>
  <c r="Q28" i="1"/>
  <c r="Q29" i="1"/>
  <c r="Q31" i="1"/>
  <c r="Q32" i="1"/>
  <c r="Q33" i="1"/>
  <c r="Q34" i="1"/>
  <c r="H27" i="2"/>
  <c r="B27" i="2"/>
  <c r="G27" i="2"/>
  <c r="C27" i="2"/>
  <c r="E27" i="2"/>
  <c r="D27" i="2"/>
  <c r="A27" i="2"/>
  <c r="H26" i="2"/>
  <c r="G26" i="2"/>
  <c r="C26" i="2"/>
  <c r="E26" i="2"/>
  <c r="D26" i="2"/>
  <c r="B26" i="2"/>
  <c r="A26" i="2"/>
  <c r="H25" i="2"/>
  <c r="G25" i="2"/>
  <c r="D25" i="2"/>
  <c r="C25" i="2"/>
  <c r="E25" i="2"/>
  <c r="B25" i="2"/>
  <c r="A25" i="2"/>
  <c r="H24" i="2"/>
  <c r="B24" i="2"/>
  <c r="G24" i="2"/>
  <c r="C24" i="2"/>
  <c r="E24" i="2"/>
  <c r="D24" i="2"/>
  <c r="A24" i="2"/>
  <c r="H23" i="2"/>
  <c r="B23" i="2"/>
  <c r="G23" i="2"/>
  <c r="D23" i="2"/>
  <c r="C23" i="2"/>
  <c r="E23" i="2"/>
  <c r="A23" i="2"/>
  <c r="H22" i="2"/>
  <c r="G22" i="2"/>
  <c r="C22" i="2"/>
  <c r="E22" i="2"/>
  <c r="D22" i="2"/>
  <c r="B22" i="2"/>
  <c r="A22" i="2"/>
  <c r="H21" i="2"/>
  <c r="G21" i="2"/>
  <c r="D21" i="2"/>
  <c r="C21" i="2"/>
  <c r="B21" i="2"/>
  <c r="A21" i="2"/>
  <c r="H20" i="2"/>
  <c r="B20" i="2"/>
  <c r="G20" i="2"/>
  <c r="C20" i="2"/>
  <c r="D20" i="2"/>
  <c r="A20" i="2"/>
  <c r="H19" i="2"/>
  <c r="B19" i="2"/>
  <c r="G19" i="2"/>
  <c r="D19" i="2"/>
  <c r="C19" i="2"/>
  <c r="A19" i="2"/>
  <c r="H18" i="2"/>
  <c r="G18" i="2"/>
  <c r="C18" i="2"/>
  <c r="E18" i="2"/>
  <c r="D18" i="2"/>
  <c r="B18" i="2"/>
  <c r="A18" i="2"/>
  <c r="H17" i="2"/>
  <c r="G17" i="2"/>
  <c r="D17" i="2"/>
  <c r="C17" i="2"/>
  <c r="E17" i="2"/>
  <c r="B17" i="2"/>
  <c r="A17" i="2"/>
  <c r="H16" i="2"/>
  <c r="B16" i="2"/>
  <c r="G16" i="2"/>
  <c r="C16" i="2"/>
  <c r="D16" i="2"/>
  <c r="A16" i="2"/>
  <c r="H15" i="2"/>
  <c r="B15" i="2"/>
  <c r="G15" i="2"/>
  <c r="D15" i="2"/>
  <c r="C15" i="2"/>
  <c r="A15" i="2"/>
  <c r="H14" i="2"/>
  <c r="G14" i="2"/>
  <c r="C14" i="2"/>
  <c r="E14" i="2"/>
  <c r="D14" i="2"/>
  <c r="B14" i="2"/>
  <c r="A14" i="2"/>
  <c r="H13" i="2"/>
  <c r="G13" i="2"/>
  <c r="D13" i="2"/>
  <c r="C13" i="2"/>
  <c r="B13" i="2"/>
  <c r="A13" i="2"/>
  <c r="H12" i="2"/>
  <c r="B12" i="2"/>
  <c r="G12" i="2"/>
  <c r="C12" i="2"/>
  <c r="E12" i="2"/>
  <c r="D12" i="2"/>
  <c r="A12" i="2"/>
  <c r="H11" i="2"/>
  <c r="B11" i="2"/>
  <c r="G11" i="2"/>
  <c r="D11" i="2"/>
  <c r="C11" i="2"/>
  <c r="A11" i="2"/>
  <c r="Q35" i="1"/>
  <c r="Q36" i="1"/>
  <c r="Q37" i="1"/>
  <c r="C17" i="1"/>
  <c r="Q30" i="1"/>
  <c r="E11" i="2"/>
  <c r="E15" i="2"/>
  <c r="G32" i="1"/>
  <c r="I32" i="1"/>
  <c r="E29" i="1"/>
  <c r="F29" i="1"/>
  <c r="G29" i="1"/>
  <c r="I29" i="1"/>
  <c r="E30" i="1"/>
  <c r="F30" i="1"/>
  <c r="G30" i="1"/>
  <c r="G28" i="1"/>
  <c r="I28" i="1"/>
  <c r="E26" i="1"/>
  <c r="F26" i="1"/>
  <c r="G26" i="1"/>
  <c r="I26" i="1"/>
  <c r="E21" i="1"/>
  <c r="F21" i="1"/>
  <c r="G21" i="1"/>
  <c r="H21" i="1"/>
  <c r="E23" i="1"/>
  <c r="F23" i="1"/>
  <c r="G23" i="1"/>
  <c r="I23" i="1"/>
  <c r="G27" i="1"/>
  <c r="I27" i="1"/>
  <c r="E25" i="1"/>
  <c r="F25" i="1"/>
  <c r="G25" i="1"/>
  <c r="I25" i="1"/>
  <c r="E31" i="1"/>
  <c r="F31" i="1"/>
  <c r="G31" i="1"/>
  <c r="I31" i="1"/>
  <c r="G24" i="1"/>
  <c r="I24" i="1"/>
  <c r="E20" i="2"/>
  <c r="H30" i="1"/>
  <c r="E21" i="2"/>
  <c r="E16" i="2"/>
  <c r="E13" i="2"/>
  <c r="E19" i="2"/>
  <c r="C12" i="1"/>
  <c r="C11" i="1"/>
  <c r="O35" i="1" l="1"/>
  <c r="O33" i="1"/>
  <c r="O36" i="1"/>
  <c r="O27" i="1"/>
  <c r="O28" i="1"/>
  <c r="O22" i="1"/>
  <c r="O23" i="1"/>
  <c r="O31" i="1"/>
  <c r="O32" i="1"/>
  <c r="O25" i="1"/>
  <c r="O30" i="1"/>
  <c r="O21" i="1"/>
  <c r="O34" i="1"/>
  <c r="O26" i="1"/>
  <c r="O29" i="1"/>
  <c r="O37" i="1"/>
  <c r="C15" i="1"/>
  <c r="O2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<sst xmlns="http://schemas.openxmlformats.org/spreadsheetml/2006/main" count="237" uniqueCount="121">
  <si>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</si>
  <si>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</si>
  <si>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</si>
  <si>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</si>
  <si>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</si>
  <si>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</si>
  <si>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</si>
  <si>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</si>
  <si>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</si>
  <si>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</si>
  <si>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</si>
  <si>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</si>
  <si>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</si>
  <si>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</si>
  <si>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</si>
  <si>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</si>
  <si>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</si>
  <si>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</si>
  <si>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</si>
  <si>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</si>
  <si>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</si>
  <si>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</si>
  <si>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</si>
  <si>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</si>
  <si>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</si>
  <si>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</si>
  <si>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</si>
  <si>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</si>
  <si>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</si>
  <si>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</si>
  <si>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</si>
  <si>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</si>
  <si>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</si>
  <si>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</si>
  <si>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</si>
  <si>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EA/SD</t>
  </si>
  <si>
    <t>QS Aql / GSC 1069-03884</t>
  </si>
  <si>
    <t>OEJV 0074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</si>
  <si>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</si>
  <si>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</si>
  <si>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</si>
  <si>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</si>
  <si>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</si>
  <si>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</si>
  <si>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</si>
  <si>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</si>
  <si>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</si>
  <si>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</si>
  <si>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</si>
  <si>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</si>
  <si>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2426159.12 </t>
  </si>
  <si>
    <t> 01.07.1930 14:52 </t>
  </si>
  <si>
    <t> -16.33 </t>
  </si>
  <si>
    <t>E </t>
  </si>
  <si>
    <t>?</t>
  </si>
  <si>
    <t> P.Guthnick </t>
  </si>
  <si>
    <t> AN 241.263 </t>
  </si>
  <si>
    <t>2426160.37 </t>
  </si>
  <si>
    <t> 02.07.1930 20:52 </t>
  </si>
  <si>
    <t> -16.34 </t>
  </si>
  <si>
    <t>2430920.550 </t>
  </si>
  <si>
    <t> 15.07.1943 01:12 </t>
  </si>
  <si>
    <t> -16.361 </t>
  </si>
  <si>
    <t> I.Groeneveld </t>
  </si>
  <si>
    <t> VHEI 14.46 </t>
  </si>
  <si>
    <t>2437490.300 </t>
  </si>
  <si>
    <t> 09.07.1961 19:12 </t>
  </si>
  <si>
    <t> -16.395 </t>
  </si>
  <si>
    <t> G.F.G.Knipe </t>
  </si>
  <si>
    <t> PASP 83.356 </t>
  </si>
  <si>
    <t>2437799.446 </t>
  </si>
  <si>
    <t> 14.05.1962 22:42 </t>
  </si>
  <si>
    <t> -16.386 </t>
  </si>
  <si>
    <t>2438259.397 </t>
  </si>
  <si>
    <t> 17.08.1963 21:31 </t>
  </si>
  <si>
    <t> -16.370 </t>
  </si>
  <si>
    <t>2438578.604 </t>
  </si>
  <si>
    <t> 02.07.1964 02:29 </t>
  </si>
  <si>
    <t> -16.353 </t>
  </si>
  <si>
    <t>2438945.548 </t>
  </si>
  <si>
    <t> 04.07.1965 01:09 </t>
  </si>
  <si>
    <t> -16.352 </t>
  </si>
  <si>
    <t>2439360.255 </t>
  </si>
  <si>
    <t> 22.08.1966 18:07 </t>
  </si>
  <si>
    <t> -16.340 </t>
  </si>
  <si>
    <t>2440443.489 </t>
  </si>
  <si>
    <t> 09.08.1969 23:44 </t>
  </si>
  <si>
    <t> -16.342 </t>
  </si>
  <si>
    <t>2440453.544 </t>
  </si>
  <si>
    <t> 20.08.1969 01:03 </t>
  </si>
  <si>
    <t> P.van der Wal </t>
  </si>
  <si>
    <t> AAPS 6.137 </t>
  </si>
  <si>
    <t>2440790.349 </t>
  </si>
  <si>
    <t> 22.07.1970 20:22 </t>
  </si>
  <si>
    <t> -16.318 </t>
  </si>
  <si>
    <t>2441182.401 </t>
  </si>
  <si>
    <t> 18.08.1971 21:37 </t>
  </si>
  <si>
    <t> MNS 31.27 </t>
  </si>
  <si>
    <t>2444439.6649 </t>
  </si>
  <si>
    <t> 19.07.1980 03:57 </t>
  </si>
  <si>
    <t> -16.3240 </t>
  </si>
  <si>
    <t> D.R.Skillman </t>
  </si>
  <si>
    <t> AVSJ 11.60 </t>
  </si>
  <si>
    <t>2454314.43880 </t>
  </si>
  <si>
    <t> 01.08.2007 22:31 </t>
  </si>
  <si>
    <t> 0.00315 </t>
  </si>
  <si>
    <t>C </t>
  </si>
  <si>
    <t>B</t>
  </si>
  <si>
    <t> R.Drevený </t>
  </si>
  <si>
    <t>OEJV 0074 </t>
  </si>
  <si>
    <t>2454314.44550 </t>
  </si>
  <si>
    <t> 01.08.2007 22:41 </t>
  </si>
  <si>
    <t> 0.00985 </t>
  </si>
  <si>
    <t>R</t>
  </si>
  <si>
    <t> P.Svoboda </t>
  </si>
  <si>
    <t>2454319.47373 </t>
  </si>
  <si>
    <t> 06.08.2007 23:22 </t>
  </si>
  <si>
    <t> 0.01146 </t>
  </si>
  <si>
    <t>II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</si>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</sst>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Aql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-6.255099999907543E-2</c:v>
                </c:pt>
                <c:pt idx="1">
                  <c:v>-6.9198000001051696E-2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40-41E0-9752-D323C8BD01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-6.8033999999897787E-2</c:v>
                </c:pt>
                <c:pt idx="3">
                  <c:v>-6.8549999996321276E-2</c:v>
                </c:pt>
                <c:pt idx="4">
                  <c:v>-5.7711999994353391E-2</c:v>
                </c:pt>
                <c:pt idx="5">
                  <c:v>-3.9514000003691763E-2</c:v>
                </c:pt>
                <c:pt idx="6">
                  <c:v>-2.0852000001468696E-2</c:v>
                </c:pt>
                <c:pt idx="7">
                  <c:v>-1.7776000000594649E-2</c:v>
                </c:pt>
                <c:pt idx="8">
                  <c:v>-4.2860000030486844E-3</c:v>
                </c:pt>
                <c:pt idx="10">
                  <c:v>1.8239999990328215E-3</c:v>
                </c:pt>
                <c:pt idx="11">
                  <c:v>2.5428000000829343E-2</c:v>
                </c:pt>
                <c:pt idx="12">
                  <c:v>3.56399999873247E-3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40-41E0-9752-D323C8BD01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3">
                  <c:v>3.8440000003902242E-2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40-41E0-9752-D323C8BD01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4">
                  <c:v>8.0214000001433305E-2</c:v>
                </c:pt>
                <c:pt idx="15">
                  <c:v>8.6913999999524094E-2</c:v>
                </c:pt>
                <c:pt idx="16">
                  <c:v>8.8555999995151069E-2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40-41E0-9752-D323C8BD01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40-41E0-9752-D323C8BD01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40-41E0-9752-D323C8BD01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1E-3</c:v>
                  </c:pt>
                  <c:pt idx="15">
                    <c:v>4.0000000000000002E-4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40-41E0-9752-D323C8BD01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-5683.5</c:v>
                </c:pt>
                <c:pt idx="1">
                  <c:v>-5683</c:v>
                </c:pt>
                <c:pt idx="2">
                  <c:v>-3789</c:v>
                </c:pt>
                <c:pt idx="3">
                  <c:v>-1175</c:v>
                </c:pt>
                <c:pt idx="4">
                  <c:v>-1052</c:v>
                </c:pt>
                <c:pt idx="5">
                  <c:v>-869</c:v>
                </c:pt>
                <c:pt idx="6">
                  <c:v>-742</c:v>
                </c:pt>
                <c:pt idx="7">
                  <c:v>-596</c:v>
                </c:pt>
                <c:pt idx="8">
                  <c:v>-431</c:v>
                </c:pt>
                <c:pt idx="9">
                  <c:v>0</c:v>
                </c:pt>
                <c:pt idx="10">
                  <c:v>4</c:v>
                </c:pt>
                <c:pt idx="11">
                  <c:v>138</c:v>
                </c:pt>
                <c:pt idx="12">
                  <c:v>294</c:v>
                </c:pt>
                <c:pt idx="13">
                  <c:v>1590</c:v>
                </c:pt>
                <c:pt idx="14">
                  <c:v>5519</c:v>
                </c:pt>
                <c:pt idx="15">
                  <c:v>5519</c:v>
                </c:pt>
                <c:pt idx="16">
                  <c:v>5521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-7.3063070393037916E-2</c:v>
                </c:pt>
                <c:pt idx="1">
                  <c:v>-7.305597123637747E-2</c:v>
                </c:pt>
                <c:pt idx="2">
                  <c:v>-4.6164365806613546E-2</c:v>
                </c:pt>
                <c:pt idx="3">
                  <c:v>-9.0499747858094684E-3</c:v>
                </c:pt>
                <c:pt idx="4">
                  <c:v>-7.3035822473401114E-3</c:v>
                </c:pt>
                <c:pt idx="5">
                  <c:v>-4.7052909096174083E-3</c:v>
                </c:pt>
                <c:pt idx="6">
                  <c:v>-2.9021051178644945E-3</c:v>
                </c:pt>
                <c:pt idx="7">
                  <c:v>-8.2915137301468878E-4</c:v>
                </c:pt>
                <c:pt idx="8">
                  <c:v>1.5135703249320115E-3</c:v>
                </c:pt>
                <c:pt idx="9">
                  <c:v>7.6330433662352079E-3</c:v>
                </c:pt>
                <c:pt idx="10">
                  <c:v>7.6898366195187647E-3</c:v>
                </c:pt>
                <c:pt idx="11">
                  <c:v>9.5924106045179019E-3</c:v>
                </c:pt>
                <c:pt idx="12">
                  <c:v>1.1807347482576599E-2</c:v>
                </c:pt>
                <c:pt idx="13">
                  <c:v>3.0208361546448858E-2</c:v>
                </c:pt>
                <c:pt idx="14">
                  <c:v>8.599353458422207E-2</c:v>
                </c:pt>
                <c:pt idx="15">
                  <c:v>8.599353458422207E-2</c:v>
                </c:pt>
                <c:pt idx="16">
                  <c:v>8.602193121086385E-2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40-41E0-9752-D323C8BD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12032"/>
        <c:axId val="1"/>
      </c:scatterChart>
      <c:valAx>
        <c:axId val="6070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012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1503759398496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EF7D30-ACFD-E0EE-EFBE-02C71CBEB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t="s">
        <v>35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40443.489000000001</v>
      </c>
      <c r="D4" s="9">
        <v>2.5132940000000001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40443.489000000001</v>
      </c>
    </row>
    <row r="8" spans="1:6" x14ac:dyDescent="0.2">
      <c r="A8" t="s">
        <v>3</v>
      </c>
      <c r="C8">
        <f>+D4</f>
        <v>2.5132940000000001</v>
      </c>
    </row>
    <row r="9" spans="1:6" x14ac:dyDescent="0.2">
      <c r="A9" s="26" t="s">
        <v>34</v>
      </c>
      <c r="B9" s="27">
        <v>30</v>
      </c>
      <c r="C9" s="24" t="str">
        <f>"F"&amp;B9</f>
        <v>F30</v>
      </c>
      <c r="D9" s="25" t="str">
        <f>"G"&amp;B9</f>
        <v>G30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INTERCEPT(INDIRECT($D$9):G991,INDIRECT($C$9):F991)</f>
        <v>7.6330433662352079E-3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SLOPE(INDIRECT($D$9):G991,INDIRECT($C$9):F991)</f>
        <v>1.4198313320889087E-5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  <c r="D13" s="3"/>
      <c r="E13" s="12"/>
    </row>
    <row r="14" spans="1:6" x14ac:dyDescent="0.2">
      <c r="A14" s="12"/>
      <c r="B14" s="12"/>
      <c r="C14" s="12"/>
      <c r="D14" s="12"/>
      <c r="E14" s="12"/>
    </row>
    <row r="15" spans="1:6" x14ac:dyDescent="0.2">
      <c r="A15" s="14" t="s">
        <v>18</v>
      </c>
      <c r="B15" s="12"/>
      <c r="C15" s="15">
        <f ca="1">(C7+C11)+(C8+C12)*INT(MAX(F21:F3532))</f>
        <v>54319.471195931212</v>
      </c>
      <c r="E15" s="16" t="s">
        <v>119</v>
      </c>
      <c r="F15" s="43">
        <v>1</v>
      </c>
    </row>
    <row r="16" spans="1:6" x14ac:dyDescent="0.2">
      <c r="A16" s="18" t="s">
        <v>4</v>
      </c>
      <c r="B16" s="12"/>
      <c r="C16" s="19">
        <f ca="1">+C8+C12</f>
        <v>2.5133081983133212</v>
      </c>
      <c r="E16" s="16" t="s">
        <v>31</v>
      </c>
      <c r="F16" s="17">
        <f ca="1">NOW()+15018.5+$C$5/24</f>
        <v>60320.675729513889</v>
      </c>
    </row>
    <row r="17" spans="1:17" ht="13.5" thickBot="1" x14ac:dyDescent="0.25">
      <c r="A17" s="16" t="s">
        <v>28</v>
      </c>
      <c r="B17" s="12"/>
      <c r="C17" s="12">
        <f>COUNT(C21:C2190)</f>
        <v>17</v>
      </c>
      <c r="E17" s="16" t="s">
        <v>120</v>
      </c>
      <c r="F17" s="17">
        <f ca="1">ROUND(2*(F16-$C$7)/$C$8,0)/2+F15</f>
        <v>7910</v>
      </c>
    </row>
    <row r="18" spans="1:17" ht="14.25" thickTop="1" thickBot="1" x14ac:dyDescent="0.25">
      <c r="A18" s="18" t="s">
        <v>5</v>
      </c>
      <c r="B18" s="12"/>
      <c r="C18" s="21">
        <f ca="1">+C15</f>
        <v>54319.471195931212</v>
      </c>
      <c r="D18" s="22">
        <f ca="1">+C16</f>
        <v>2.5133081983133212</v>
      </c>
      <c r="E18" s="16" t="s">
        <v>32</v>
      </c>
      <c r="F18" s="25">
        <f ca="1">ROUND(2*(F16-$C$15)/$C$16,0)/2+F15</f>
        <v>2389</v>
      </c>
    </row>
    <row r="19" spans="1:17" ht="13.5" thickTop="1" x14ac:dyDescent="0.2">
      <c r="E19" s="16" t="s">
        <v>33</v>
      </c>
      <c r="F19" s="20">
        <f ca="1">+$C$15+$C$16*F18-15018.5-$C$5/24</f>
        <v>45305.660315035071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49</v>
      </c>
      <c r="J20" s="7" t="s">
        <v>43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25" t="s">
        <v>56</v>
      </c>
      <c r="B21" s="3" t="s">
        <v>38</v>
      </c>
      <c r="C21" s="10">
        <v>26159.119999999999</v>
      </c>
      <c r="D21" s="10" t="s">
        <v>49</v>
      </c>
      <c r="E21">
        <f t="shared" ref="E21:E37" si="0">+(C21-C$7)/C$8</f>
        <v>-5683.5248880552781</v>
      </c>
      <c r="F21">
        <f t="shared" ref="F21:F37" si="1">ROUND(2*E21,0)/2</f>
        <v>-5683.5</v>
      </c>
      <c r="G21">
        <f t="shared" ref="G21:G37" si="2">+C21-(C$7+F21*C$8)</f>
        <v>-6.255099999907543E-2</v>
      </c>
      <c r="H21">
        <f>G21</f>
        <v>-6.255099999907543E-2</v>
      </c>
      <c r="O21">
        <f t="shared" ref="O21:O37" ca="1" si="3">+C$11+C$12*$F21</f>
        <v>-7.3063070393037916E-2</v>
      </c>
      <c r="Q21" s="2">
        <f t="shared" ref="Q21:Q37" si="4">+C21-15018.5</f>
        <v>11140.619999999999</v>
      </c>
    </row>
    <row r="22" spans="1:17" x14ac:dyDescent="0.2">
      <c r="A22" s="25" t="s">
        <v>56</v>
      </c>
      <c r="B22" s="3" t="s">
        <v>118</v>
      </c>
      <c r="C22" s="10">
        <v>26160.37</v>
      </c>
      <c r="D22" s="10" t="s">
        <v>49</v>
      </c>
      <c r="E22">
        <f t="shared" si="0"/>
        <v>-5683.0275327916279</v>
      </c>
      <c r="F22">
        <f t="shared" si="1"/>
        <v>-5683</v>
      </c>
      <c r="G22">
        <f t="shared" si="2"/>
        <v>-6.9198000001051696E-2</v>
      </c>
      <c r="H22">
        <f>+G22</f>
        <v>-6.9198000001051696E-2</v>
      </c>
      <c r="O22">
        <f t="shared" ca="1" si="3"/>
        <v>-7.305597123637747E-2</v>
      </c>
      <c r="Q22" s="2">
        <f t="shared" si="4"/>
        <v>11141.869999999999</v>
      </c>
    </row>
    <row r="23" spans="1:17" x14ac:dyDescent="0.2">
      <c r="A23" s="25" t="s">
        <v>64</v>
      </c>
      <c r="B23" s="3" t="s">
        <v>118</v>
      </c>
      <c r="C23" s="10">
        <v>30920.55</v>
      </c>
      <c r="D23" s="10" t="s">
        <v>49</v>
      </c>
      <c r="E23">
        <f t="shared" si="0"/>
        <v>-3789.0270696544062</v>
      </c>
      <c r="F23">
        <f t="shared" si="1"/>
        <v>-3789</v>
      </c>
      <c r="G23">
        <f t="shared" si="2"/>
        <v>-6.8033999999897787E-2</v>
      </c>
      <c r="I23">
        <f t="shared" ref="I23:I29" si="5">+G23</f>
        <v>-6.8033999999897787E-2</v>
      </c>
      <c r="O23">
        <f t="shared" ca="1" si="3"/>
        <v>-4.6164365806613546E-2</v>
      </c>
      <c r="Q23" s="2">
        <f t="shared" si="4"/>
        <v>15902.05</v>
      </c>
    </row>
    <row r="24" spans="1:17" x14ac:dyDescent="0.2">
      <c r="A24" s="25" t="s">
        <v>69</v>
      </c>
      <c r="B24" s="3" t="s">
        <v>118</v>
      </c>
      <c r="C24" s="10">
        <v>37490.300000000003</v>
      </c>
      <c r="D24" s="10" t="s">
        <v>49</v>
      </c>
      <c r="E24">
        <f t="shared" si="0"/>
        <v>-1175.0272749626579</v>
      </c>
      <c r="F24">
        <f t="shared" si="1"/>
        <v>-1175</v>
      </c>
      <c r="G24">
        <f t="shared" si="2"/>
        <v>-6.8549999996321276E-2</v>
      </c>
      <c r="I24">
        <f t="shared" si="5"/>
        <v>-6.8549999996321276E-2</v>
      </c>
      <c r="O24">
        <f t="shared" ca="1" si="3"/>
        <v>-9.0499747858094684E-3</v>
      </c>
      <c r="Q24" s="2">
        <f t="shared" si="4"/>
        <v>22471.800000000003</v>
      </c>
    </row>
    <row r="25" spans="1:17" x14ac:dyDescent="0.2">
      <c r="A25" s="25" t="s">
        <v>69</v>
      </c>
      <c r="B25" s="3" t="s">
        <v>118</v>
      </c>
      <c r="C25" s="10">
        <v>37799.446000000004</v>
      </c>
      <c r="D25" s="10" t="s">
        <v>49</v>
      </c>
      <c r="E25">
        <f t="shared" si="0"/>
        <v>-1052.0229626935798</v>
      </c>
      <c r="F25">
        <f t="shared" si="1"/>
        <v>-1052</v>
      </c>
      <c r="G25">
        <f t="shared" si="2"/>
        <v>-5.7711999994353391E-2</v>
      </c>
      <c r="I25">
        <f t="shared" si="5"/>
        <v>-5.7711999994353391E-2</v>
      </c>
      <c r="O25">
        <f t="shared" ca="1" si="3"/>
        <v>-7.3035822473401114E-3</v>
      </c>
      <c r="Q25" s="2">
        <f t="shared" si="4"/>
        <v>22780.946000000004</v>
      </c>
    </row>
    <row r="26" spans="1:17" x14ac:dyDescent="0.2">
      <c r="A26" s="25" t="s">
        <v>69</v>
      </c>
      <c r="B26" s="3" t="s">
        <v>118</v>
      </c>
      <c r="C26" s="10">
        <v>38259.396999999997</v>
      </c>
      <c r="D26" s="10" t="s">
        <v>49</v>
      </c>
      <c r="E26">
        <f t="shared" si="0"/>
        <v>-869.01572199671193</v>
      </c>
      <c r="F26">
        <f t="shared" si="1"/>
        <v>-869</v>
      </c>
      <c r="G26">
        <f t="shared" si="2"/>
        <v>-3.9514000003691763E-2</v>
      </c>
      <c r="I26">
        <f t="shared" si="5"/>
        <v>-3.9514000003691763E-2</v>
      </c>
      <c r="O26">
        <f t="shared" ca="1" si="3"/>
        <v>-4.7052909096174083E-3</v>
      </c>
      <c r="Q26" s="2">
        <f t="shared" si="4"/>
        <v>23240.896999999997</v>
      </c>
    </row>
    <row r="27" spans="1:17" x14ac:dyDescent="0.2">
      <c r="A27" s="25" t="s">
        <v>69</v>
      </c>
      <c r="B27" s="3" t="s">
        <v>118</v>
      </c>
      <c r="C27" s="10">
        <v>38578.603999999999</v>
      </c>
      <c r="D27" s="10" t="s">
        <v>49</v>
      </c>
      <c r="E27">
        <f t="shared" si="0"/>
        <v>-742.00829668156689</v>
      </c>
      <c r="F27">
        <f t="shared" si="1"/>
        <v>-742</v>
      </c>
      <c r="G27">
        <f t="shared" si="2"/>
        <v>-2.0852000001468696E-2</v>
      </c>
      <c r="I27">
        <f t="shared" si="5"/>
        <v>-2.0852000001468696E-2</v>
      </c>
      <c r="O27">
        <f t="shared" ca="1" si="3"/>
        <v>-2.9021051178644945E-3</v>
      </c>
      <c r="Q27" s="2">
        <f t="shared" si="4"/>
        <v>23560.103999999999</v>
      </c>
    </row>
    <row r="28" spans="1:17" x14ac:dyDescent="0.2">
      <c r="A28" s="25" t="s">
        <v>69</v>
      </c>
      <c r="B28" s="3" t="s">
        <v>118</v>
      </c>
      <c r="C28" s="10">
        <v>38945.548000000003</v>
      </c>
      <c r="D28" s="10" t="s">
        <v>49</v>
      </c>
      <c r="E28">
        <f t="shared" si="0"/>
        <v>-596.00707278973289</v>
      </c>
      <c r="F28">
        <f t="shared" si="1"/>
        <v>-596</v>
      </c>
      <c r="G28">
        <f t="shared" si="2"/>
        <v>-1.7776000000594649E-2</v>
      </c>
      <c r="I28">
        <f t="shared" si="5"/>
        <v>-1.7776000000594649E-2</v>
      </c>
      <c r="O28">
        <f t="shared" ca="1" si="3"/>
        <v>-8.2915137301468878E-4</v>
      </c>
      <c r="Q28" s="2">
        <f t="shared" si="4"/>
        <v>23927.048000000003</v>
      </c>
    </row>
    <row r="29" spans="1:17" x14ac:dyDescent="0.2">
      <c r="A29" s="25" t="s">
        <v>69</v>
      </c>
      <c r="B29" s="3" t="s">
        <v>118</v>
      </c>
      <c r="C29" s="10">
        <v>39360.254999999997</v>
      </c>
      <c r="D29" s="10" t="s">
        <v>49</v>
      </c>
      <c r="E29">
        <f t="shared" si="0"/>
        <v>-431.00170533172957</v>
      </c>
      <c r="F29">
        <f t="shared" si="1"/>
        <v>-431</v>
      </c>
      <c r="G29">
        <f t="shared" si="2"/>
        <v>-4.2860000030486844E-3</v>
      </c>
      <c r="I29">
        <f t="shared" si="5"/>
        <v>-4.2860000030486844E-3</v>
      </c>
      <c r="O29">
        <f t="shared" ca="1" si="3"/>
        <v>1.5135703249320115E-3</v>
      </c>
      <c r="Q29" s="2">
        <f t="shared" si="4"/>
        <v>24341.754999999997</v>
      </c>
    </row>
    <row r="30" spans="1:17" x14ac:dyDescent="0.2">
      <c r="A30" t="s">
        <v>12</v>
      </c>
      <c r="B30" s="3"/>
      <c r="C30" s="10">
        <v>40443.489000000001</v>
      </c>
      <c r="D30" s="10" t="s">
        <v>14</v>
      </c>
      <c r="E30">
        <f t="shared" si="0"/>
        <v>0</v>
      </c>
      <c r="F30">
        <f t="shared" si="1"/>
        <v>0</v>
      </c>
      <c r="G30">
        <f t="shared" si="2"/>
        <v>0</v>
      </c>
      <c r="H30">
        <f>+G30</f>
        <v>0</v>
      </c>
      <c r="O30">
        <f t="shared" ca="1" si="3"/>
        <v>7.6330433662352079E-3</v>
      </c>
      <c r="Q30" s="2">
        <f t="shared" si="4"/>
        <v>25424.989000000001</v>
      </c>
    </row>
    <row r="31" spans="1:17" x14ac:dyDescent="0.2">
      <c r="A31" s="25" t="s">
        <v>91</v>
      </c>
      <c r="B31" s="3" t="s">
        <v>118</v>
      </c>
      <c r="C31" s="10">
        <v>40453.544000000002</v>
      </c>
      <c r="D31" s="10" t="s">
        <v>49</v>
      </c>
      <c r="E31">
        <f t="shared" si="0"/>
        <v>4.0007257408008341</v>
      </c>
      <c r="F31">
        <f t="shared" si="1"/>
        <v>4</v>
      </c>
      <c r="G31">
        <f t="shared" si="2"/>
        <v>1.8239999990328215E-3</v>
      </c>
      <c r="I31">
        <f>+G31</f>
        <v>1.8239999990328215E-3</v>
      </c>
      <c r="O31">
        <f t="shared" ca="1" si="3"/>
        <v>7.6898366195187647E-3</v>
      </c>
      <c r="Q31" s="2">
        <f t="shared" si="4"/>
        <v>25435.044000000002</v>
      </c>
    </row>
    <row r="32" spans="1:17" x14ac:dyDescent="0.2">
      <c r="A32" s="25" t="s">
        <v>91</v>
      </c>
      <c r="B32" s="3" t="s">
        <v>118</v>
      </c>
      <c r="C32" s="10">
        <v>40790.349000000002</v>
      </c>
      <c r="D32" s="10" t="s">
        <v>49</v>
      </c>
      <c r="E32">
        <f t="shared" si="0"/>
        <v>138.01011739971551</v>
      </c>
      <c r="F32">
        <f t="shared" si="1"/>
        <v>138</v>
      </c>
      <c r="G32">
        <f t="shared" si="2"/>
        <v>2.5428000000829343E-2</v>
      </c>
      <c r="I32">
        <f>+G32</f>
        <v>2.5428000000829343E-2</v>
      </c>
      <c r="O32">
        <f t="shared" ca="1" si="3"/>
        <v>9.5924106045179019E-3</v>
      </c>
      <c r="Q32" s="2">
        <f t="shared" si="4"/>
        <v>25771.849000000002</v>
      </c>
    </row>
    <row r="33" spans="1:17" x14ac:dyDescent="0.2">
      <c r="A33" s="25" t="s">
        <v>97</v>
      </c>
      <c r="B33" s="3" t="s">
        <v>118</v>
      </c>
      <c r="C33" s="10">
        <v>41182.400999999998</v>
      </c>
      <c r="D33" s="10" t="s">
        <v>49</v>
      </c>
      <c r="E33">
        <f t="shared" si="0"/>
        <v>294.00141805932634</v>
      </c>
      <c r="F33">
        <f t="shared" si="1"/>
        <v>294</v>
      </c>
      <c r="G33">
        <f t="shared" si="2"/>
        <v>3.56399999873247E-3</v>
      </c>
      <c r="I33">
        <f>+G33</f>
        <v>3.56399999873247E-3</v>
      </c>
      <c r="O33">
        <f t="shared" ca="1" si="3"/>
        <v>1.1807347482576599E-2</v>
      </c>
      <c r="Q33" s="2">
        <f t="shared" si="4"/>
        <v>26163.900999999998</v>
      </c>
    </row>
    <row r="34" spans="1:17" x14ac:dyDescent="0.2">
      <c r="A34" s="25" t="s">
        <v>102</v>
      </c>
      <c r="B34" s="3" t="s">
        <v>118</v>
      </c>
      <c r="C34" s="10">
        <v>44439.664900000003</v>
      </c>
      <c r="D34" s="10" t="s">
        <v>49</v>
      </c>
      <c r="E34">
        <f t="shared" si="0"/>
        <v>1590.0152946690685</v>
      </c>
      <c r="F34">
        <f t="shared" si="1"/>
        <v>1590</v>
      </c>
      <c r="G34">
        <f t="shared" si="2"/>
        <v>3.8440000003902242E-2</v>
      </c>
      <c r="J34">
        <f>+G34</f>
        <v>3.8440000003902242E-2</v>
      </c>
      <c r="O34">
        <f t="shared" ca="1" si="3"/>
        <v>3.0208361546448858E-2</v>
      </c>
      <c r="Q34" s="2">
        <f t="shared" si="4"/>
        <v>29421.164900000003</v>
      </c>
    </row>
    <row r="35" spans="1:17" x14ac:dyDescent="0.2">
      <c r="A35" s="28" t="s">
        <v>37</v>
      </c>
      <c r="B35" s="29" t="s">
        <v>38</v>
      </c>
      <c r="C35" s="28">
        <v>54314.438800000004</v>
      </c>
      <c r="D35" s="28">
        <v>1E-3</v>
      </c>
      <c r="E35">
        <f t="shared" si="0"/>
        <v>5519.0319158840957</v>
      </c>
      <c r="F35">
        <f t="shared" si="1"/>
        <v>5519</v>
      </c>
      <c r="G35">
        <f t="shared" si="2"/>
        <v>8.0214000001433305E-2</v>
      </c>
      <c r="K35">
        <f>+G35</f>
        <v>8.0214000001433305E-2</v>
      </c>
      <c r="O35">
        <f t="shared" ca="1" si="3"/>
        <v>8.599353458422207E-2</v>
      </c>
      <c r="Q35" s="2">
        <f t="shared" si="4"/>
        <v>39295.938800000004</v>
      </c>
    </row>
    <row r="36" spans="1:17" x14ac:dyDescent="0.2">
      <c r="A36" s="28" t="s">
        <v>37</v>
      </c>
      <c r="B36" s="29" t="s">
        <v>38</v>
      </c>
      <c r="C36" s="28">
        <v>54314.445500000002</v>
      </c>
      <c r="D36" s="28">
        <v>4.0000000000000002E-4</v>
      </c>
      <c r="E36">
        <f t="shared" si="0"/>
        <v>5519.034581708308</v>
      </c>
      <c r="F36">
        <f t="shared" si="1"/>
        <v>5519</v>
      </c>
      <c r="G36">
        <f t="shared" si="2"/>
        <v>8.6913999999524094E-2</v>
      </c>
      <c r="K36">
        <f>+G36</f>
        <v>8.6913999999524094E-2</v>
      </c>
      <c r="O36">
        <f t="shared" ca="1" si="3"/>
        <v>8.599353458422207E-2</v>
      </c>
      <c r="Q36" s="2">
        <f t="shared" si="4"/>
        <v>39295.945500000002</v>
      </c>
    </row>
    <row r="37" spans="1:17" x14ac:dyDescent="0.2">
      <c r="A37" s="28" t="s">
        <v>37</v>
      </c>
      <c r="B37" s="29" t="s">
        <v>38</v>
      </c>
      <c r="C37" s="28">
        <v>54319.473729999998</v>
      </c>
      <c r="D37" s="28">
        <v>5.0000000000000001E-4</v>
      </c>
      <c r="E37">
        <f t="shared" si="0"/>
        <v>5521.0352350341809</v>
      </c>
      <c r="F37">
        <f t="shared" si="1"/>
        <v>5521</v>
      </c>
      <c r="G37">
        <f t="shared" si="2"/>
        <v>8.8555999995151069E-2</v>
      </c>
      <c r="K37">
        <f>+G37</f>
        <v>8.8555999995151069E-2</v>
      </c>
      <c r="O37">
        <f t="shared" ca="1" si="3"/>
        <v>8.602193121086385E-2</v>
      </c>
      <c r="Q37" s="2">
        <f t="shared" si="4"/>
        <v>39300.973729999998</v>
      </c>
    </row>
    <row r="38" spans="1:17" x14ac:dyDescent="0.2">
      <c r="B38" s="3"/>
      <c r="C38" s="10"/>
      <c r="D38" s="10"/>
    </row>
    <row r="39" spans="1:17" x14ac:dyDescent="0.2">
      <c r="B39" s="3"/>
      <c r="C39" s="10"/>
      <c r="D39" s="10"/>
    </row>
    <row r="40" spans="1:17" x14ac:dyDescent="0.2">
      <c r="B40" s="3"/>
      <c r="C40" s="10"/>
      <c r="D40" s="10"/>
    </row>
    <row r="41" spans="1:17" x14ac:dyDescent="0.2">
      <c r="B41" s="3"/>
      <c r="C41" s="10"/>
      <c r="D41" s="10"/>
    </row>
    <row r="42" spans="1:17" x14ac:dyDescent="0.2">
      <c r="B42" s="3"/>
      <c r="C42" s="10"/>
      <c r="D42" s="10"/>
    </row>
    <row r="43" spans="1:17" x14ac:dyDescent="0.2">
      <c r="B43" s="3"/>
      <c r="C43" s="10"/>
      <c r="D43" s="10"/>
    </row>
    <row r="44" spans="1:17" x14ac:dyDescent="0.2">
      <c r="B44" s="3"/>
      <c r="C44" s="10"/>
      <c r="D44" s="10"/>
    </row>
    <row r="45" spans="1:17" x14ac:dyDescent="0.2">
      <c r="B45" s="3"/>
      <c r="C45" s="10"/>
      <c r="D45" s="10"/>
    </row>
    <row r="46" spans="1:17" x14ac:dyDescent="0.2">
      <c r="B46" s="3"/>
      <c r="C46" s="10"/>
      <c r="D46" s="10"/>
    </row>
    <row r="47" spans="1:17" x14ac:dyDescent="0.2">
      <c r="B47" s="3"/>
      <c r="C47" s="10"/>
      <c r="D47" s="10"/>
    </row>
    <row r="48" spans="1:17" x14ac:dyDescent="0.2">
      <c r="B48" s="3"/>
      <c r="C48" s="10"/>
      <c r="D48" s="10"/>
    </row>
    <row r="49" spans="2:4" x14ac:dyDescent="0.2">
      <c r="B49" s="3"/>
      <c r="C49" s="10"/>
      <c r="D49" s="10"/>
    </row>
    <row r="50" spans="2:4" x14ac:dyDescent="0.2">
      <c r="B50" s="3"/>
      <c r="C50" s="10"/>
      <c r="D50" s="10"/>
    </row>
    <row r="51" spans="2:4" x14ac:dyDescent="0.2">
      <c r="B51" s="3"/>
      <c r="C51" s="10"/>
      <c r="D51" s="10"/>
    </row>
    <row r="52" spans="2:4" x14ac:dyDescent="0.2">
      <c r="B52" s="3"/>
      <c r="C52" s="10"/>
      <c r="D52" s="10"/>
    </row>
    <row r="53" spans="2:4" x14ac:dyDescent="0.2">
      <c r="B53" s="3"/>
      <c r="C53" s="10"/>
      <c r="D53" s="10"/>
    </row>
    <row r="54" spans="2:4" x14ac:dyDescent="0.2">
      <c r="B54" s="3"/>
      <c r="C54" s="10"/>
      <c r="D54" s="10"/>
    </row>
    <row r="55" spans="2:4" x14ac:dyDescent="0.2">
      <c r="B55" s="3"/>
      <c r="C55" s="10"/>
      <c r="D55" s="10"/>
    </row>
    <row r="56" spans="2:4" x14ac:dyDescent="0.2">
      <c r="B56" s="3"/>
      <c r="C56" s="10"/>
      <c r="D56" s="10"/>
    </row>
    <row r="57" spans="2:4" x14ac:dyDescent="0.2">
      <c r="B57" s="3"/>
      <c r="C57" s="10"/>
      <c r="D57" s="10"/>
    </row>
    <row r="58" spans="2:4" x14ac:dyDescent="0.2">
      <c r="B58" s="3"/>
      <c r="C58" s="10"/>
      <c r="D58" s="10"/>
    </row>
    <row r="59" spans="2:4" x14ac:dyDescent="0.2">
      <c r="B59" s="3"/>
      <c r="C59" s="10"/>
      <c r="D59" s="10"/>
    </row>
    <row r="60" spans="2:4" x14ac:dyDescent="0.2">
      <c r="B60" s="3"/>
      <c r="C60" s="10"/>
      <c r="D60" s="10"/>
    </row>
    <row r="61" spans="2:4" x14ac:dyDescent="0.2">
      <c r="B61" s="3"/>
      <c r="C61" s="10"/>
      <c r="D61" s="10"/>
    </row>
    <row r="62" spans="2:4" x14ac:dyDescent="0.2">
      <c r="B62" s="3"/>
      <c r="C62" s="10"/>
      <c r="D62" s="10"/>
    </row>
    <row r="63" spans="2:4" x14ac:dyDescent="0.2">
      <c r="B63" s="3"/>
      <c r="C63" s="10"/>
      <c r="D63" s="10"/>
    </row>
    <row r="64" spans="2:4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C120" s="10"/>
      <c r="D120" s="10"/>
    </row>
    <row r="121" spans="2:4" x14ac:dyDescent="0.2">
      <c r="C121" s="10"/>
      <c r="D121" s="10"/>
    </row>
    <row r="122" spans="2:4" x14ac:dyDescent="0.2">
      <c r="C122" s="10"/>
      <c r="D122" s="10"/>
    </row>
    <row r="123" spans="2:4" x14ac:dyDescent="0.2">
      <c r="C123" s="10"/>
      <c r="D123" s="10"/>
    </row>
    <row r="124" spans="2:4" x14ac:dyDescent="0.2">
      <c r="C124" s="10"/>
      <c r="D124" s="10"/>
    </row>
    <row r="125" spans="2:4" x14ac:dyDescent="0.2">
      <c r="C125" s="10"/>
      <c r="D125" s="10"/>
    </row>
    <row r="126" spans="2:4" x14ac:dyDescent="0.2">
      <c r="C126" s="10"/>
      <c r="D126" s="10"/>
    </row>
    <row r="127" spans="2:4" x14ac:dyDescent="0.2">
      <c r="C127" s="10"/>
      <c r="D127" s="10"/>
    </row>
    <row r="128" spans="2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9"/>
  <sheetViews>
    <sheetView workbookViewId="0">
      <selection activeCell="A11" sqref="A11:D2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0" t="s">
        <v>39</v>
      </c>
      <c r="I1" s="31" t="s">
        <v>40</v>
      </c>
      <c r="J1" s="32" t="s">
        <v>41</v>
      </c>
    </row>
    <row r="2" spans="1:16" x14ac:dyDescent="0.2">
      <c r="I2" s="33" t="s">
        <v>42</v>
      </c>
      <c r="J2" s="34" t="s">
        <v>43</v>
      </c>
    </row>
    <row r="3" spans="1:16" x14ac:dyDescent="0.2">
      <c r="A3" s="35" t="s">
        <v>44</v>
      </c>
      <c r="I3" s="33" t="s">
        <v>45</v>
      </c>
      <c r="J3" s="34" t="s">
        <v>46</v>
      </c>
    </row>
    <row r="4" spans="1:16" x14ac:dyDescent="0.2">
      <c r="I4" s="33" t="s">
        <v>47</v>
      </c>
      <c r="J4" s="34" t="s">
        <v>46</v>
      </c>
    </row>
    <row r="5" spans="1:16" ht="13.5" thickBot="1" x14ac:dyDescent="0.25">
      <c r="I5" s="36" t="s">
        <v>48</v>
      </c>
      <c r="J5" s="37" t="s">
        <v>49</v>
      </c>
    </row>
    <row r="10" spans="1:16" ht="13.5" thickBot="1" x14ac:dyDescent="0.25"/>
    <row r="11" spans="1:16" ht="12.75" customHeight="1" thickBot="1" x14ac:dyDescent="0.25">
      <c r="A11" s="10" t="str">
        <f t="shared" ref="A11:A27" si="0">P11</f>
        <v> AN 241.263 </v>
      </c>
      <c r="B11" s="3" t="str">
        <f t="shared" ref="B11:B27" si="1">IF(H11=INT(H11),"I","II")</f>
        <v>I</v>
      </c>
      <c r="C11" s="10">
        <f t="shared" ref="C11:C27" si="2">1*G11</f>
        <v>26159.119999999999</v>
      </c>
      <c r="D11" s="12" t="str">
        <f t="shared" ref="D11:D27" si="3">VLOOKUP(F11,I$1:J$5,2,FALSE)</f>
        <v>vis</v>
      </c>
      <c r="E11" s="38">
        <f>VLOOKUP(C11,Active!C$21:E$972,3,FALSE)</f>
        <v>-5683.5248880552781</v>
      </c>
      <c r="F11" s="3" t="s">
        <v>48</v>
      </c>
      <c r="G11" s="12" t="str">
        <f t="shared" ref="G11:G27" si="4">MID(I11,3,LEN(I11)-3)</f>
        <v>26159.12</v>
      </c>
      <c r="H11" s="10">
        <f t="shared" ref="H11:H27" si="5">1*K11</f>
        <v>-11360</v>
      </c>
      <c r="I11" s="39" t="s">
        <v>50</v>
      </c>
      <c r="J11" s="40" t="s">
        <v>51</v>
      </c>
      <c r="K11" s="39">
        <v>-11360</v>
      </c>
      <c r="L11" s="39" t="s">
        <v>52</v>
      </c>
      <c r="M11" s="40" t="s">
        <v>53</v>
      </c>
      <c r="N11" s="40" t="s">
        <v>54</v>
      </c>
      <c r="O11" s="41" t="s">
        <v>55</v>
      </c>
      <c r="P11" s="41" t="s">
        <v>56</v>
      </c>
    </row>
    <row r="12" spans="1:16" ht="12.75" customHeight="1" thickBot="1" x14ac:dyDescent="0.25">
      <c r="A12" s="10" t="str">
        <f t="shared" si="0"/>
        <v> AN 241.263 </v>
      </c>
      <c r="B12" s="3" t="str">
        <f t="shared" si="1"/>
        <v>II</v>
      </c>
      <c r="C12" s="10">
        <f t="shared" si="2"/>
        <v>26160.37</v>
      </c>
      <c r="D12" s="12" t="str">
        <f t="shared" si="3"/>
        <v>vis</v>
      </c>
      <c r="E12" s="38">
        <f>VLOOKUP(C12,Active!C$21:E$972,3,FALSE)</f>
        <v>-5683.0275327916279</v>
      </c>
      <c r="F12" s="3" t="s">
        <v>48</v>
      </c>
      <c r="G12" s="12" t="str">
        <f t="shared" si="4"/>
        <v>26160.37</v>
      </c>
      <c r="H12" s="10">
        <f t="shared" si="5"/>
        <v>-11359.5</v>
      </c>
      <c r="I12" s="39" t="s">
        <v>57</v>
      </c>
      <c r="J12" s="40" t="s">
        <v>58</v>
      </c>
      <c r="K12" s="39">
        <v>-11359.5</v>
      </c>
      <c r="L12" s="39" t="s">
        <v>59</v>
      </c>
      <c r="M12" s="40" t="s">
        <v>53</v>
      </c>
      <c r="N12" s="40" t="s">
        <v>54</v>
      </c>
      <c r="O12" s="41" t="s">
        <v>55</v>
      </c>
      <c r="P12" s="41" t="s">
        <v>56</v>
      </c>
    </row>
    <row r="13" spans="1:16" ht="12.75" customHeight="1" thickBot="1" x14ac:dyDescent="0.25">
      <c r="A13" s="10" t="str">
        <f t="shared" si="0"/>
        <v> VHEI 14.46 </v>
      </c>
      <c r="B13" s="3" t="str">
        <f t="shared" si="1"/>
        <v>II</v>
      </c>
      <c r="C13" s="10">
        <f t="shared" si="2"/>
        <v>30920.55</v>
      </c>
      <c r="D13" s="12" t="str">
        <f t="shared" si="3"/>
        <v>vis</v>
      </c>
      <c r="E13" s="38">
        <f>VLOOKUP(C13,Active!C$21:E$972,3,FALSE)</f>
        <v>-3789.0270696544062</v>
      </c>
      <c r="F13" s="3" t="s">
        <v>48</v>
      </c>
      <c r="G13" s="12" t="str">
        <f t="shared" si="4"/>
        <v>30920.550</v>
      </c>
      <c r="H13" s="10">
        <f t="shared" si="5"/>
        <v>-9465.5</v>
      </c>
      <c r="I13" s="39" t="s">
        <v>60</v>
      </c>
      <c r="J13" s="40" t="s">
        <v>61</v>
      </c>
      <c r="K13" s="39">
        <v>-9465.5</v>
      </c>
      <c r="L13" s="39" t="s">
        <v>62</v>
      </c>
      <c r="M13" s="40" t="s">
        <v>53</v>
      </c>
      <c r="N13" s="40" t="s">
        <v>54</v>
      </c>
      <c r="O13" s="41" t="s">
        <v>63</v>
      </c>
      <c r="P13" s="41" t="s">
        <v>64</v>
      </c>
    </row>
    <row r="14" spans="1:16" ht="12.75" customHeight="1" thickBot="1" x14ac:dyDescent="0.25">
      <c r="A14" s="10" t="str">
        <f t="shared" si="0"/>
        <v> PASP 83.356 </v>
      </c>
      <c r="B14" s="3" t="str">
        <f t="shared" si="1"/>
        <v>II</v>
      </c>
      <c r="C14" s="10">
        <f t="shared" si="2"/>
        <v>37490.300000000003</v>
      </c>
      <c r="D14" s="12" t="str">
        <f t="shared" si="3"/>
        <v>vis</v>
      </c>
      <c r="E14" s="38">
        <f>VLOOKUP(C14,Active!C$21:E$972,3,FALSE)</f>
        <v>-1175.0272749626579</v>
      </c>
      <c r="F14" s="3" t="s">
        <v>48</v>
      </c>
      <c r="G14" s="12" t="str">
        <f t="shared" si="4"/>
        <v>37490.300</v>
      </c>
      <c r="H14" s="10">
        <f t="shared" si="5"/>
        <v>-6851.5</v>
      </c>
      <c r="I14" s="39" t="s">
        <v>65</v>
      </c>
      <c r="J14" s="40" t="s">
        <v>66</v>
      </c>
      <c r="K14" s="39">
        <v>-6851.5</v>
      </c>
      <c r="L14" s="39" t="s">
        <v>67</v>
      </c>
      <c r="M14" s="40" t="s">
        <v>53</v>
      </c>
      <c r="N14" s="40" t="s">
        <v>54</v>
      </c>
      <c r="O14" s="41" t="s">
        <v>68</v>
      </c>
      <c r="P14" s="41" t="s">
        <v>69</v>
      </c>
    </row>
    <row r="15" spans="1:16" ht="12.75" customHeight="1" thickBot="1" x14ac:dyDescent="0.25">
      <c r="A15" s="10" t="str">
        <f t="shared" si="0"/>
        <v> PASP 83.356 </v>
      </c>
      <c r="B15" s="3" t="str">
        <f t="shared" si="1"/>
        <v>II</v>
      </c>
      <c r="C15" s="10">
        <f t="shared" si="2"/>
        <v>37799.446000000004</v>
      </c>
      <c r="D15" s="12" t="str">
        <f t="shared" si="3"/>
        <v>vis</v>
      </c>
      <c r="E15" s="38">
        <f>VLOOKUP(C15,Active!C$21:E$972,3,FALSE)</f>
        <v>-1052.0229626935798</v>
      </c>
      <c r="F15" s="3" t="s">
        <v>48</v>
      </c>
      <c r="G15" s="12" t="str">
        <f t="shared" si="4"/>
        <v>37799.446</v>
      </c>
      <c r="H15" s="10">
        <f t="shared" si="5"/>
        <v>-6728.5</v>
      </c>
      <c r="I15" s="39" t="s">
        <v>70</v>
      </c>
      <c r="J15" s="40" t="s">
        <v>71</v>
      </c>
      <c r="K15" s="39">
        <v>-6728.5</v>
      </c>
      <c r="L15" s="39" t="s">
        <v>72</v>
      </c>
      <c r="M15" s="40" t="s">
        <v>53</v>
      </c>
      <c r="N15" s="40" t="s">
        <v>54</v>
      </c>
      <c r="O15" s="41" t="s">
        <v>68</v>
      </c>
      <c r="P15" s="41" t="s">
        <v>69</v>
      </c>
    </row>
    <row r="16" spans="1:16" ht="12.75" customHeight="1" thickBot="1" x14ac:dyDescent="0.25">
      <c r="A16" s="10" t="str">
        <f t="shared" si="0"/>
        <v> PASP 83.356 </v>
      </c>
      <c r="B16" s="3" t="str">
        <f t="shared" si="1"/>
        <v>II</v>
      </c>
      <c r="C16" s="10">
        <f t="shared" si="2"/>
        <v>38259.396999999997</v>
      </c>
      <c r="D16" s="12" t="str">
        <f t="shared" si="3"/>
        <v>vis</v>
      </c>
      <c r="E16" s="38">
        <f>VLOOKUP(C16,Active!C$21:E$972,3,FALSE)</f>
        <v>-869.01572199671193</v>
      </c>
      <c r="F16" s="3" t="s">
        <v>48</v>
      </c>
      <c r="G16" s="12" t="str">
        <f t="shared" si="4"/>
        <v>38259.397</v>
      </c>
      <c r="H16" s="10">
        <f t="shared" si="5"/>
        <v>-6545.5</v>
      </c>
      <c r="I16" s="39" t="s">
        <v>73</v>
      </c>
      <c r="J16" s="40" t="s">
        <v>74</v>
      </c>
      <c r="K16" s="39">
        <v>-6545.5</v>
      </c>
      <c r="L16" s="39" t="s">
        <v>75</v>
      </c>
      <c r="M16" s="40" t="s">
        <v>53</v>
      </c>
      <c r="N16" s="40" t="s">
        <v>54</v>
      </c>
      <c r="O16" s="41" t="s">
        <v>68</v>
      </c>
      <c r="P16" s="41" t="s">
        <v>69</v>
      </c>
    </row>
    <row r="17" spans="1:16" ht="12.75" customHeight="1" thickBot="1" x14ac:dyDescent="0.25">
      <c r="A17" s="10" t="str">
        <f t="shared" si="0"/>
        <v> PASP 83.356 </v>
      </c>
      <c r="B17" s="3" t="str">
        <f t="shared" si="1"/>
        <v>II</v>
      </c>
      <c r="C17" s="10">
        <f t="shared" si="2"/>
        <v>38578.603999999999</v>
      </c>
      <c r="D17" s="12" t="str">
        <f t="shared" si="3"/>
        <v>vis</v>
      </c>
      <c r="E17" s="38">
        <f>VLOOKUP(C17,Active!C$21:E$972,3,FALSE)</f>
        <v>-742.00829668156689</v>
      </c>
      <c r="F17" s="3" t="s">
        <v>48</v>
      </c>
      <c r="G17" s="12" t="str">
        <f t="shared" si="4"/>
        <v>38578.604</v>
      </c>
      <c r="H17" s="10">
        <f t="shared" si="5"/>
        <v>-6418.5</v>
      </c>
      <c r="I17" s="39" t="s">
        <v>76</v>
      </c>
      <c r="J17" s="40" t="s">
        <v>77</v>
      </c>
      <c r="K17" s="39">
        <v>-6418.5</v>
      </c>
      <c r="L17" s="39" t="s">
        <v>78</v>
      </c>
      <c r="M17" s="40" t="s">
        <v>53</v>
      </c>
      <c r="N17" s="40" t="s">
        <v>54</v>
      </c>
      <c r="O17" s="41" t="s">
        <v>68</v>
      </c>
      <c r="P17" s="41" t="s">
        <v>69</v>
      </c>
    </row>
    <row r="18" spans="1:16" ht="12.75" customHeight="1" thickBot="1" x14ac:dyDescent="0.25">
      <c r="A18" s="10" t="str">
        <f t="shared" si="0"/>
        <v> PASP 83.356 </v>
      </c>
      <c r="B18" s="3" t="str">
        <f t="shared" si="1"/>
        <v>II</v>
      </c>
      <c r="C18" s="10">
        <f t="shared" si="2"/>
        <v>38945.548000000003</v>
      </c>
      <c r="D18" s="12" t="str">
        <f t="shared" si="3"/>
        <v>vis</v>
      </c>
      <c r="E18" s="38">
        <f>VLOOKUP(C18,Active!C$21:E$972,3,FALSE)</f>
        <v>-596.00707278973289</v>
      </c>
      <c r="F18" s="3" t="s">
        <v>48</v>
      </c>
      <c r="G18" s="12" t="str">
        <f t="shared" si="4"/>
        <v>38945.548</v>
      </c>
      <c r="H18" s="10">
        <f t="shared" si="5"/>
        <v>-6272.5</v>
      </c>
      <c r="I18" s="39" t="s">
        <v>79</v>
      </c>
      <c r="J18" s="40" t="s">
        <v>80</v>
      </c>
      <c r="K18" s="39">
        <v>-6272.5</v>
      </c>
      <c r="L18" s="39" t="s">
        <v>81</v>
      </c>
      <c r="M18" s="40" t="s">
        <v>53</v>
      </c>
      <c r="N18" s="40" t="s">
        <v>54</v>
      </c>
      <c r="O18" s="41" t="s">
        <v>68</v>
      </c>
      <c r="P18" s="41" t="s">
        <v>69</v>
      </c>
    </row>
    <row r="19" spans="1:16" ht="12.75" customHeight="1" thickBot="1" x14ac:dyDescent="0.25">
      <c r="A19" s="10" t="str">
        <f t="shared" si="0"/>
        <v> PASP 83.356 </v>
      </c>
      <c r="B19" s="3" t="str">
        <f t="shared" si="1"/>
        <v>II</v>
      </c>
      <c r="C19" s="10">
        <f t="shared" si="2"/>
        <v>39360.254999999997</v>
      </c>
      <c r="D19" s="12" t="str">
        <f t="shared" si="3"/>
        <v>vis</v>
      </c>
      <c r="E19" s="38">
        <f>VLOOKUP(C19,Active!C$21:E$972,3,FALSE)</f>
        <v>-431.00170533172957</v>
      </c>
      <c r="F19" s="3" t="s">
        <v>48</v>
      </c>
      <c r="G19" s="12" t="str">
        <f t="shared" si="4"/>
        <v>39360.255</v>
      </c>
      <c r="H19" s="10">
        <f t="shared" si="5"/>
        <v>-6107.5</v>
      </c>
      <c r="I19" s="39" t="s">
        <v>82</v>
      </c>
      <c r="J19" s="40" t="s">
        <v>83</v>
      </c>
      <c r="K19" s="39">
        <v>-6107.5</v>
      </c>
      <c r="L19" s="39" t="s">
        <v>84</v>
      </c>
      <c r="M19" s="40" t="s">
        <v>53</v>
      </c>
      <c r="N19" s="40" t="s">
        <v>54</v>
      </c>
      <c r="O19" s="41" t="s">
        <v>68</v>
      </c>
      <c r="P19" s="41" t="s">
        <v>69</v>
      </c>
    </row>
    <row r="20" spans="1:16" ht="12.75" customHeight="1" thickBot="1" x14ac:dyDescent="0.25">
      <c r="A20" s="10" t="str">
        <f t="shared" si="0"/>
        <v> PASP 83.356 </v>
      </c>
      <c r="B20" s="3" t="str">
        <f t="shared" si="1"/>
        <v>II</v>
      </c>
      <c r="C20" s="10">
        <f t="shared" si="2"/>
        <v>40443.489000000001</v>
      </c>
      <c r="D20" s="12" t="str">
        <f t="shared" si="3"/>
        <v>vis</v>
      </c>
      <c r="E20" s="38">
        <f>VLOOKUP(C20,Active!C$21:E$972,3,FALSE)</f>
        <v>0</v>
      </c>
      <c r="F20" s="3" t="s">
        <v>48</v>
      </c>
      <c r="G20" s="12" t="str">
        <f t="shared" si="4"/>
        <v>40443.489</v>
      </c>
      <c r="H20" s="10">
        <f t="shared" si="5"/>
        <v>-5676.5</v>
      </c>
      <c r="I20" s="39" t="s">
        <v>85</v>
      </c>
      <c r="J20" s="40" t="s">
        <v>86</v>
      </c>
      <c r="K20" s="39">
        <v>-5676.5</v>
      </c>
      <c r="L20" s="39" t="s">
        <v>87</v>
      </c>
      <c r="M20" s="40" t="s">
        <v>53</v>
      </c>
      <c r="N20" s="40" t="s">
        <v>54</v>
      </c>
      <c r="O20" s="41" t="s">
        <v>68</v>
      </c>
      <c r="P20" s="41" t="s">
        <v>69</v>
      </c>
    </row>
    <row r="21" spans="1:16" ht="12.75" customHeight="1" thickBot="1" x14ac:dyDescent="0.25">
      <c r="A21" s="10" t="str">
        <f t="shared" si="0"/>
        <v> AAPS 6.137 </v>
      </c>
      <c r="B21" s="3" t="str">
        <f t="shared" si="1"/>
        <v>II</v>
      </c>
      <c r="C21" s="10">
        <f t="shared" si="2"/>
        <v>40453.544000000002</v>
      </c>
      <c r="D21" s="12" t="str">
        <f t="shared" si="3"/>
        <v>vis</v>
      </c>
      <c r="E21" s="38">
        <f>VLOOKUP(C21,Active!C$21:E$972,3,FALSE)</f>
        <v>4.0007257408008341</v>
      </c>
      <c r="F21" s="3" t="s">
        <v>48</v>
      </c>
      <c r="G21" s="12" t="str">
        <f t="shared" si="4"/>
        <v>40453.544</v>
      </c>
      <c r="H21" s="10">
        <f t="shared" si="5"/>
        <v>-5672.5</v>
      </c>
      <c r="I21" s="39" t="s">
        <v>88</v>
      </c>
      <c r="J21" s="40" t="s">
        <v>89</v>
      </c>
      <c r="K21" s="39">
        <v>-5672.5</v>
      </c>
      <c r="L21" s="39" t="s">
        <v>84</v>
      </c>
      <c r="M21" s="40" t="s">
        <v>53</v>
      </c>
      <c r="N21" s="40" t="s">
        <v>54</v>
      </c>
      <c r="O21" s="41" t="s">
        <v>90</v>
      </c>
      <c r="P21" s="41" t="s">
        <v>91</v>
      </c>
    </row>
    <row r="22" spans="1:16" ht="12.75" customHeight="1" thickBot="1" x14ac:dyDescent="0.25">
      <c r="A22" s="10" t="str">
        <f t="shared" si="0"/>
        <v> AAPS 6.137 </v>
      </c>
      <c r="B22" s="3" t="str">
        <f t="shared" si="1"/>
        <v>II</v>
      </c>
      <c r="C22" s="10">
        <f t="shared" si="2"/>
        <v>40790.349000000002</v>
      </c>
      <c r="D22" s="12" t="str">
        <f t="shared" si="3"/>
        <v>vis</v>
      </c>
      <c r="E22" s="38">
        <f>VLOOKUP(C22,Active!C$21:E$972,3,FALSE)</f>
        <v>138.01011739971551</v>
      </c>
      <c r="F22" s="3" t="s">
        <v>48</v>
      </c>
      <c r="G22" s="12" t="str">
        <f t="shared" si="4"/>
        <v>40790.349</v>
      </c>
      <c r="H22" s="10">
        <f t="shared" si="5"/>
        <v>-5538.5</v>
      </c>
      <c r="I22" s="39" t="s">
        <v>92</v>
      </c>
      <c r="J22" s="40" t="s">
        <v>93</v>
      </c>
      <c r="K22" s="39">
        <v>-5538.5</v>
      </c>
      <c r="L22" s="39" t="s">
        <v>94</v>
      </c>
      <c r="M22" s="40" t="s">
        <v>53</v>
      </c>
      <c r="N22" s="40" t="s">
        <v>54</v>
      </c>
      <c r="O22" s="41" t="s">
        <v>90</v>
      </c>
      <c r="P22" s="41" t="s">
        <v>91</v>
      </c>
    </row>
    <row r="23" spans="1:16" ht="12.75" customHeight="1" thickBot="1" x14ac:dyDescent="0.25">
      <c r="A23" s="10" t="str">
        <f t="shared" si="0"/>
        <v> MNS 31.27 </v>
      </c>
      <c r="B23" s="3" t="str">
        <f t="shared" si="1"/>
        <v>II</v>
      </c>
      <c r="C23" s="10">
        <f t="shared" si="2"/>
        <v>41182.400999999998</v>
      </c>
      <c r="D23" s="12" t="str">
        <f t="shared" si="3"/>
        <v>vis</v>
      </c>
      <c r="E23" s="38">
        <f>VLOOKUP(C23,Active!C$21:E$972,3,FALSE)</f>
        <v>294.00141805932634</v>
      </c>
      <c r="F23" s="3" t="s">
        <v>48</v>
      </c>
      <c r="G23" s="12" t="str">
        <f t="shared" si="4"/>
        <v>41182.401</v>
      </c>
      <c r="H23" s="10">
        <f t="shared" si="5"/>
        <v>-5382.5</v>
      </c>
      <c r="I23" s="39" t="s">
        <v>95</v>
      </c>
      <c r="J23" s="40" t="s">
        <v>96</v>
      </c>
      <c r="K23" s="39">
        <v>-5382.5</v>
      </c>
      <c r="L23" s="39" t="s">
        <v>87</v>
      </c>
      <c r="M23" s="40" t="s">
        <v>53</v>
      </c>
      <c r="N23" s="40" t="s">
        <v>54</v>
      </c>
      <c r="O23" s="41" t="s">
        <v>68</v>
      </c>
      <c r="P23" s="41" t="s">
        <v>97</v>
      </c>
    </row>
    <row r="24" spans="1:16" ht="12.75" customHeight="1" thickBot="1" x14ac:dyDescent="0.25">
      <c r="A24" s="10" t="str">
        <f t="shared" si="0"/>
        <v> AVSJ 11.60 </v>
      </c>
      <c r="B24" s="3" t="str">
        <f t="shared" si="1"/>
        <v>II</v>
      </c>
      <c r="C24" s="10">
        <f t="shared" si="2"/>
        <v>44439.664900000003</v>
      </c>
      <c r="D24" s="12" t="str">
        <f t="shared" si="3"/>
        <v>vis</v>
      </c>
      <c r="E24" s="38">
        <f>VLOOKUP(C24,Active!C$21:E$972,3,FALSE)</f>
        <v>1590.0152946690685</v>
      </c>
      <c r="F24" s="3" t="s">
        <v>48</v>
      </c>
      <c r="G24" s="12" t="str">
        <f t="shared" si="4"/>
        <v>44439.6649</v>
      </c>
      <c r="H24" s="10">
        <f t="shared" si="5"/>
        <v>-4086.5</v>
      </c>
      <c r="I24" s="39" t="s">
        <v>98</v>
      </c>
      <c r="J24" s="40" t="s">
        <v>99</v>
      </c>
      <c r="K24" s="39">
        <v>-4086.5</v>
      </c>
      <c r="L24" s="39" t="s">
        <v>100</v>
      </c>
      <c r="M24" s="40" t="s">
        <v>53</v>
      </c>
      <c r="N24" s="40" t="s">
        <v>54</v>
      </c>
      <c r="O24" s="41" t="s">
        <v>101</v>
      </c>
      <c r="P24" s="41" t="s">
        <v>102</v>
      </c>
    </row>
    <row r="25" spans="1:16" ht="12.75" customHeight="1" thickBot="1" x14ac:dyDescent="0.25">
      <c r="A25" s="10" t="str">
        <f t="shared" si="0"/>
        <v>OEJV 0074 </v>
      </c>
      <c r="B25" s="3" t="str">
        <f t="shared" si="1"/>
        <v>I</v>
      </c>
      <c r="C25" s="10">
        <f t="shared" si="2"/>
        <v>54314.438800000004</v>
      </c>
      <c r="D25" s="12" t="str">
        <f t="shared" si="3"/>
        <v>vis</v>
      </c>
      <c r="E25" s="38">
        <f>VLOOKUP(C25,Active!C$21:E$972,3,FALSE)</f>
        <v>5519.0319158840957</v>
      </c>
      <c r="F25" s="3" t="s">
        <v>48</v>
      </c>
      <c r="G25" s="12" t="str">
        <f t="shared" si="4"/>
        <v>54314.43880</v>
      </c>
      <c r="H25" s="10">
        <f t="shared" si="5"/>
        <v>-164</v>
      </c>
      <c r="I25" s="39" t="s">
        <v>103</v>
      </c>
      <c r="J25" s="40" t="s">
        <v>104</v>
      </c>
      <c r="K25" s="39">
        <v>-164</v>
      </c>
      <c r="L25" s="39" t="s">
        <v>105</v>
      </c>
      <c r="M25" s="40" t="s">
        <v>106</v>
      </c>
      <c r="N25" s="40" t="s">
        <v>107</v>
      </c>
      <c r="O25" s="41" t="s">
        <v>108</v>
      </c>
      <c r="P25" s="42" t="s">
        <v>109</v>
      </c>
    </row>
    <row r="26" spans="1:16" ht="12.75" customHeight="1" thickBot="1" x14ac:dyDescent="0.25">
      <c r="A26" s="10" t="str">
        <f t="shared" si="0"/>
        <v>OEJV 0074 </v>
      </c>
      <c r="B26" s="3" t="str">
        <f t="shared" si="1"/>
        <v>I</v>
      </c>
      <c r="C26" s="10">
        <f t="shared" si="2"/>
        <v>54314.445500000002</v>
      </c>
      <c r="D26" s="12" t="str">
        <f t="shared" si="3"/>
        <v>vis</v>
      </c>
      <c r="E26" s="38">
        <f>VLOOKUP(C26,Active!C$21:E$972,3,FALSE)</f>
        <v>5519.034581708308</v>
      </c>
      <c r="F26" s="3" t="s">
        <v>48</v>
      </c>
      <c r="G26" s="12" t="str">
        <f t="shared" si="4"/>
        <v>54314.44550</v>
      </c>
      <c r="H26" s="10">
        <f t="shared" si="5"/>
        <v>-164</v>
      </c>
      <c r="I26" s="39" t="s">
        <v>110</v>
      </c>
      <c r="J26" s="40" t="s">
        <v>111</v>
      </c>
      <c r="K26" s="39">
        <v>-164</v>
      </c>
      <c r="L26" s="39" t="s">
        <v>112</v>
      </c>
      <c r="M26" s="40" t="s">
        <v>106</v>
      </c>
      <c r="N26" s="40" t="s">
        <v>113</v>
      </c>
      <c r="O26" s="41" t="s">
        <v>114</v>
      </c>
      <c r="P26" s="42" t="s">
        <v>109</v>
      </c>
    </row>
    <row r="27" spans="1:16" ht="12.75" customHeight="1" thickBot="1" x14ac:dyDescent="0.25">
      <c r="A27" s="10" t="str">
        <f t="shared" si="0"/>
        <v>OEJV 0074 </v>
      </c>
      <c r="B27" s="3" t="str">
        <f t="shared" si="1"/>
        <v>I</v>
      </c>
      <c r="C27" s="10">
        <f t="shared" si="2"/>
        <v>54319.473729999998</v>
      </c>
      <c r="D27" s="12" t="str">
        <f t="shared" si="3"/>
        <v>vis</v>
      </c>
      <c r="E27" s="38">
        <f>VLOOKUP(C27,Active!C$21:E$972,3,FALSE)</f>
        <v>5521.0352350341809</v>
      </c>
      <c r="F27" s="3" t="s">
        <v>48</v>
      </c>
      <c r="G27" s="12" t="str">
        <f t="shared" si="4"/>
        <v>54319.47373</v>
      </c>
      <c r="H27" s="10">
        <f t="shared" si="5"/>
        <v>-162</v>
      </c>
      <c r="I27" s="39" t="s">
        <v>115</v>
      </c>
      <c r="J27" s="40" t="s">
        <v>116</v>
      </c>
      <c r="K27" s="39">
        <v>-162</v>
      </c>
      <c r="L27" s="39" t="s">
        <v>117</v>
      </c>
      <c r="M27" s="40" t="s">
        <v>106</v>
      </c>
      <c r="N27" s="40" t="s">
        <v>113</v>
      </c>
      <c r="O27" s="41" t="s">
        <v>114</v>
      </c>
      <c r="P27" s="42" t="s">
        <v>109</v>
      </c>
    </row>
    <row r="28" spans="1:16" x14ac:dyDescent="0.2">
      <c r="B28" s="3"/>
      <c r="E28" s="38"/>
      <c r="F28" s="3"/>
    </row>
    <row r="29" spans="1:16" x14ac:dyDescent="0.2">
      <c r="B29" s="3"/>
      <c r="E29" s="38"/>
      <c r="F29" s="3"/>
    </row>
    <row r="30" spans="1:16" x14ac:dyDescent="0.2">
      <c r="B30" s="3"/>
      <c r="E30" s="38"/>
      <c r="F30" s="3"/>
    </row>
    <row r="31" spans="1:16" x14ac:dyDescent="0.2">
      <c r="B31" s="3"/>
      <c r="E31" s="38"/>
      <c r="F31" s="3"/>
    </row>
    <row r="32" spans="1:16" x14ac:dyDescent="0.2">
      <c r="B32" s="3"/>
      <c r="E32" s="38"/>
      <c r="F32" s="3"/>
    </row>
    <row r="33" spans="2:6" x14ac:dyDescent="0.2">
      <c r="B33" s="3"/>
      <c r="E33" s="38"/>
      <c r="F33" s="3"/>
    </row>
    <row r="34" spans="2:6" x14ac:dyDescent="0.2">
      <c r="B34" s="3"/>
      <c r="E34" s="38"/>
      <c r="F34" s="3"/>
    </row>
    <row r="35" spans="2:6" x14ac:dyDescent="0.2">
      <c r="B35" s="3"/>
      <c r="E35" s="38"/>
      <c r="F35" s="3"/>
    </row>
    <row r="36" spans="2:6" x14ac:dyDescent="0.2">
      <c r="B36" s="3"/>
      <c r="E36" s="38"/>
      <c r="F36" s="3"/>
    </row>
    <row r="37" spans="2:6" x14ac:dyDescent="0.2">
      <c r="B37" s="3"/>
      <c r="E37" s="38"/>
      <c r="F37" s="3"/>
    </row>
    <row r="38" spans="2:6" x14ac:dyDescent="0.2">
      <c r="B38" s="3"/>
      <c r="E38" s="38"/>
      <c r="F38" s="3"/>
    </row>
    <row r="39" spans="2:6" x14ac:dyDescent="0.2">
      <c r="B39" s="3"/>
      <c r="E39" s="38"/>
      <c r="F39" s="3"/>
    </row>
    <row r="40" spans="2:6" x14ac:dyDescent="0.2">
      <c r="B40" s="3"/>
      <c r="E40" s="38"/>
      <c r="F40" s="3"/>
    </row>
    <row r="41" spans="2:6" x14ac:dyDescent="0.2">
      <c r="B41" s="3"/>
      <c r="E41" s="38"/>
      <c r="F41" s="3"/>
    </row>
    <row r="42" spans="2:6" x14ac:dyDescent="0.2">
      <c r="B42" s="3"/>
      <c r="E42" s="38"/>
      <c r="F42" s="3"/>
    </row>
    <row r="43" spans="2:6" x14ac:dyDescent="0.2">
      <c r="B43" s="3"/>
      <c r="E43" s="38"/>
      <c r="F43" s="3"/>
    </row>
    <row r="44" spans="2:6" x14ac:dyDescent="0.2">
      <c r="B44" s="3"/>
      <c r="E44" s="38"/>
      <c r="F44" s="3"/>
    </row>
    <row r="45" spans="2:6" x14ac:dyDescent="0.2">
      <c r="B45" s="3"/>
      <c r="E45" s="38"/>
      <c r="F45" s="3"/>
    </row>
    <row r="46" spans="2:6" x14ac:dyDescent="0.2">
      <c r="B46" s="3"/>
      <c r="E46" s="38"/>
      <c r="F46" s="3"/>
    </row>
    <row r="47" spans="2:6" x14ac:dyDescent="0.2">
      <c r="B47" s="3"/>
      <c r="E47" s="38"/>
      <c r="F47" s="3"/>
    </row>
    <row r="48" spans="2:6" x14ac:dyDescent="0.2">
      <c r="B48" s="3"/>
      <c r="E48" s="38"/>
      <c r="F48" s="3"/>
    </row>
    <row r="49" spans="2:6" x14ac:dyDescent="0.2">
      <c r="B49" s="3"/>
      <c r="E49" s="38"/>
      <c r="F49" s="3"/>
    </row>
    <row r="50" spans="2:6" x14ac:dyDescent="0.2">
      <c r="B50" s="3"/>
      <c r="E50" s="38"/>
      <c r="F50" s="3"/>
    </row>
    <row r="51" spans="2:6" x14ac:dyDescent="0.2">
      <c r="B51" s="3"/>
      <c r="E51" s="38"/>
      <c r="F51" s="3"/>
    </row>
    <row r="52" spans="2:6" x14ac:dyDescent="0.2">
      <c r="B52" s="3"/>
      <c r="E52" s="38"/>
      <c r="F52" s="3"/>
    </row>
    <row r="53" spans="2:6" x14ac:dyDescent="0.2">
      <c r="B53" s="3"/>
      <c r="E53" s="38"/>
      <c r="F53" s="3"/>
    </row>
    <row r="54" spans="2:6" x14ac:dyDescent="0.2">
      <c r="B54" s="3"/>
      <c r="E54" s="38"/>
      <c r="F54" s="3"/>
    </row>
    <row r="55" spans="2:6" x14ac:dyDescent="0.2">
      <c r="B55" s="3"/>
      <c r="E55" s="38"/>
      <c r="F55" s="3"/>
    </row>
    <row r="56" spans="2:6" x14ac:dyDescent="0.2">
      <c r="B56" s="3"/>
      <c r="E56" s="38"/>
      <c r="F56" s="3"/>
    </row>
    <row r="57" spans="2:6" x14ac:dyDescent="0.2">
      <c r="B57" s="3"/>
      <c r="E57" s="38"/>
      <c r="F57" s="3"/>
    </row>
    <row r="58" spans="2:6" x14ac:dyDescent="0.2">
      <c r="B58" s="3"/>
      <c r="E58" s="38"/>
      <c r="F58" s="3"/>
    </row>
    <row r="59" spans="2:6" x14ac:dyDescent="0.2">
      <c r="B59" s="3"/>
      <c r="E59" s="38"/>
      <c r="F59" s="3"/>
    </row>
    <row r="60" spans="2:6" x14ac:dyDescent="0.2">
      <c r="B60" s="3"/>
      <c r="E60" s="38"/>
      <c r="F60" s="3"/>
    </row>
    <row r="61" spans="2:6" x14ac:dyDescent="0.2">
      <c r="B61" s="3"/>
      <c r="E61" s="38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</sheetData>
  <phoneticPr fontId="7" type="noConversion"/>
  <hyperlinks>
    <hyperlink ref="A3" r:id="rId1"/>
    <hyperlink ref="P25" r:id="rId2" display="http://var.astro.cz/oejv/issues/oejv0074.pdf"/>
    <hyperlink ref="P26" r:id="rId3" display="http://var.astro.cz/oejv/issues/oejv0074.pdf"/>
    <hyperlink ref="P27" r:id="rId4" display="http://var.astro.cz/oejv/issues/oejv0074.pdf"/>
  </hyperlinks>
  <pageMargins left="0.75" right="0.75" top="1" bottom="1" header="0.5" footer="0.5"/>
  <pageSetup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2024-01-11T03:13:03Z</dcterms:modified>
</cp:coreProperties>
</file>