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1DDAE10-4467-4FD8-BC1D-722502C377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6" i="1" l="1"/>
  <c r="E21" i="1"/>
  <c r="F21" i="1"/>
  <c r="G21" i="1"/>
  <c r="H21" i="1"/>
  <c r="F16" i="1"/>
  <c r="F17" i="1" s="1"/>
  <c r="H27" i="2"/>
  <c r="B27" i="2"/>
  <c r="G27" i="2"/>
  <c r="C27" i="2"/>
  <c r="D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E25" i="1"/>
  <c r="F25" i="1"/>
  <c r="G25" i="1"/>
  <c r="I25" i="1"/>
  <c r="C9" i="1"/>
  <c r="D9" i="1"/>
  <c r="Q25" i="1"/>
  <c r="E24" i="1"/>
  <c r="F24" i="1"/>
  <c r="G24" i="1"/>
  <c r="J24" i="1"/>
  <c r="Q24" i="1"/>
  <c r="C17" i="1"/>
  <c r="Q22" i="1"/>
  <c r="Q23" i="1"/>
  <c r="E22" i="1"/>
  <c r="F22" i="1"/>
  <c r="G22" i="1"/>
  <c r="I22" i="1"/>
  <c r="E23" i="1"/>
  <c r="F23" i="1"/>
  <c r="G23" i="1"/>
  <c r="I23" i="1"/>
  <c r="C7" i="1"/>
  <c r="C8" i="1"/>
  <c r="Q21" i="1"/>
  <c r="E26" i="1"/>
  <c r="F26" i="1"/>
  <c r="U26" i="1"/>
  <c r="C11" i="1"/>
  <c r="C12" i="1"/>
  <c r="C16" i="1" l="1"/>
  <c r="D18" i="1" s="1"/>
  <c r="O23" i="1"/>
  <c r="O25" i="1"/>
  <c r="O22" i="1"/>
  <c r="C15" i="1"/>
  <c r="O24" i="1"/>
  <c r="O21" i="1"/>
  <c r="O26" i="1"/>
  <c r="F18" i="1" l="1"/>
  <c r="C18" i="1"/>
  <c r="F19" i="1"/>
</calcChain>
</file>

<file path=xl/sharedStrings.xml><?xml version="1.0" encoding="utf-8"?>
<sst xmlns="http://schemas.openxmlformats.org/spreadsheetml/2006/main" count="209" uniqueCount="125">
  <si>
    <t>OEJV 0181</t>
  </si>
  <si>
    <t>BAD?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</si>
  <si>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</si>
  <si>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</si>
  <si>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</si>
  <si>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</si>
  <si>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</si>
  <si>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</si>
  <si>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</si>
  <si>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</si>
  <si>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</si>
  <si>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</si>
  <si>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</si>
  <si>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</si>
  <si>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</si>
  <si>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</si>
  <si>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</si>
  <si>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</si>
  <si>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</si>
  <si>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</si>
  <si>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</si>
  <si>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</si>
  <si>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</si>
  <si>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</si>
  <si>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</si>
  <si>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</si>
  <si>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</si>
  <si>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</si>
  <si>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Paschke A</t>
  </si>
  <si>
    <t>BBSAG Bull.88</t>
  </si>
  <si>
    <t>B</t>
  </si>
  <si>
    <t>BBSAG Bull.111</t>
  </si>
  <si>
    <t>V348 Aql / GSC 00463-02661</t>
  </si>
  <si>
    <t># of data points: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</si>
  <si>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</si>
  <si>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</si>
  <si>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</si>
  <si>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</si>
  <si>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</si>
  <si>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</si>
  <si>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</si>
  <si>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</si>
  <si>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</si>
  <si>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CCD</t>
  </si>
  <si>
    <t>OEJV 0048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</si>
  <si>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</si>
  <si>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</si>
  <si>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</si>
  <si>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</si>
  <si>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</si>
  <si>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</si>
  <si>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</si>
  <si>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</si>
  <si>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</si>
  <si>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</si>
  <si>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</si>
  <si>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F </t>
  </si>
  <si>
    <t>2425447.446 </t>
  </si>
  <si>
    <t> 19.07.1928 22:42 </t>
  </si>
  <si>
    <t> 0.078 </t>
  </si>
  <si>
    <t>P </t>
  </si>
  <si>
    <t> L.Meinunger </t>
  </si>
  <si>
    <t> MVS 3.153 </t>
  </si>
  <si>
    <t>2425535.319 </t>
  </si>
  <si>
    <t> 15.10.1928 19:39 </t>
  </si>
  <si>
    <t> 0.061 </t>
  </si>
  <si>
    <t>2427214.506 </t>
  </si>
  <si>
    <t> 22.05.1933 00:08 </t>
  </si>
  <si>
    <t> 0.005 </t>
  </si>
  <si>
    <t>2437542.35 </t>
  </si>
  <si>
    <t> 30.08.1961 20:24 </t>
  </si>
  <si>
    <t> 0.04 </t>
  </si>
  <si>
    <t>2437543.37 </t>
  </si>
  <si>
    <t> 31.08.1961 20:52 </t>
  </si>
  <si>
    <t> 0.06 </t>
  </si>
  <si>
    <t>2437544.36 </t>
  </si>
  <si>
    <t> 01.09.1961 20:38 </t>
  </si>
  <si>
    <t> 0.05 </t>
  </si>
  <si>
    <t>2437559.34 </t>
  </si>
  <si>
    <t> 16.09.1961 20:09 </t>
  </si>
  <si>
    <t>2437575.30 </t>
  </si>
  <si>
    <t> 02.10.1961 19:12 </t>
  </si>
  <si>
    <t> 0.03 </t>
  </si>
  <si>
    <t>2437577.32 </t>
  </si>
  <si>
    <t> 04.10.1961 19:40 </t>
  </si>
  <si>
    <t>2437587.27 </t>
  </si>
  <si>
    <t> 14.10.1961 18:28 </t>
  </si>
  <si>
    <t> 0.01 </t>
  </si>
  <si>
    <t>2437876.58 </t>
  </si>
  <si>
    <t> 31.07.1962 01:55 </t>
  </si>
  <si>
    <t> 0.02 </t>
  </si>
  <si>
    <t>2437886.56 </t>
  </si>
  <si>
    <t> 10.08.1962 01:26 </t>
  </si>
  <si>
    <t>2447304.49 </t>
  </si>
  <si>
    <t> 22.05.1988 23:45 </t>
  </si>
  <si>
    <t> -0.00 </t>
  </si>
  <si>
    <t>V </t>
  </si>
  <si>
    <t> A.Paschke </t>
  </si>
  <si>
    <t> BBS 88 </t>
  </si>
  <si>
    <t>2449516.467 </t>
  </si>
  <si>
    <t> 12.06.1994 23:12 </t>
  </si>
  <si>
    <t> P.Stepan </t>
  </si>
  <si>
    <t> BRNO 31 </t>
  </si>
  <si>
    <t>2449934.552 </t>
  </si>
  <si>
    <t> 05.08.1995 01:14 </t>
  </si>
  <si>
    <t> 0.000 </t>
  </si>
  <si>
    <t>E </t>
  </si>
  <si>
    <t>?</t>
  </si>
  <si>
    <t> BBS 111 </t>
  </si>
  <si>
    <t>2451758.44600 </t>
  </si>
  <si>
    <t> 01.08.2000 22:42 </t>
  </si>
  <si>
    <t> 0.16456 </t>
  </si>
  <si>
    <t>C </t>
  </si>
  <si>
    <t>o</t>
  </si>
  <si>
    <t> P.Hájek </t>
  </si>
  <si>
    <t>OEJV 0074 </t>
  </si>
  <si>
    <t>2453923.595 </t>
  </si>
  <si>
    <t> 07.07.2006 02:16 </t>
  </si>
  <si>
    <t> 0.009 </t>
  </si>
  <si>
    <t>OEJV 0048 </t>
  </si>
  <si>
    <t>s5</t>
  </si>
  <si>
    <t>s6</t>
  </si>
  <si>
    <t>s7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</si>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</sst>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4" fillId="0" borderId="10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V348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653-BCD9-F85E8B4E63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-2.1996000003127847E-2</c:v>
                </c:pt>
                <c:pt idx="2">
                  <c:v>-7.1172000003571156E-2</c:v>
                </c:pt>
                <c:pt idx="4">
                  <c:v>-9.6640000003390014E-2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653-BCD9-F85E8B4E63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-9.3419999997422565E-2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A0-4653-BCD9-F85E8B4E63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A0-4653-BCD9-F85E8B4E63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A0-4653-BCD9-F85E8B4E63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A0-4653-BCD9-F85E8B4E63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0</c:v>
                  </c:pt>
                  <c:pt idx="4">
                    <c:v>3.0000000000000001E-3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A0-4653-BCD9-F85E8B4E63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0.22101051399909127</c:v>
                </c:pt>
                <c:pt idx="1">
                  <c:v>-3.1265752766442001E-2</c:v>
                </c:pt>
                <c:pt idx="2">
                  <c:v>-6.1622743508428057E-2</c:v>
                </c:pt>
                <c:pt idx="3">
                  <c:v>-8.2674556511595887E-2</c:v>
                </c:pt>
                <c:pt idx="4">
                  <c:v>-0.10766494722104569</c:v>
                </c:pt>
                <c:pt idx="5">
                  <c:v>-0.14572059058481379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A0-4653-BCD9-F85E8B4E63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21906</c:v>
                </c:pt>
                <c:pt idx="2">
                  <c:v>24542</c:v>
                </c:pt>
                <c:pt idx="3">
                  <c:v>26370</c:v>
                </c:pt>
                <c:pt idx="4">
                  <c:v>28540</c:v>
                </c:pt>
                <c:pt idx="5">
                  <c:v>31844.5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-0.30738700000074459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A0-4653-BCD9-F85E8B4E6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110192"/>
        <c:axId val="1"/>
      </c:scatterChart>
      <c:valAx>
        <c:axId val="56911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11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727272727272728E-2"/>
          <c:y val="0.92000129214617399"/>
          <c:w val="0.9690093490379818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18</xdr:col>
      <xdr:colOff>304799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1643D7-EB55-FB9B-27C8-BBB65908C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48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27</v>
      </c>
      <c r="B2" s="10" t="s">
        <v>34</v>
      </c>
    </row>
    <row r="4" spans="1:6" ht="14.25" thickTop="1" thickBot="1" x14ac:dyDescent="0.25">
      <c r="A4" s="7" t="s">
        <v>3</v>
      </c>
      <c r="C4" s="3">
        <v>25447.45</v>
      </c>
      <c r="D4" s="4">
        <v>0.99776600000000004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25447.45</v>
      </c>
    </row>
    <row r="8" spans="1:6" x14ac:dyDescent="0.2">
      <c r="A8" t="s">
        <v>6</v>
      </c>
      <c r="C8">
        <f>+D4</f>
        <v>0.99776600000000004</v>
      </c>
    </row>
    <row r="9" spans="1:6" x14ac:dyDescent="0.2">
      <c r="A9" s="26" t="s">
        <v>40</v>
      </c>
      <c r="B9" s="27">
        <v>22</v>
      </c>
      <c r="C9" s="15" t="str">
        <f>"F"&amp;B9</f>
        <v>F22</v>
      </c>
      <c r="D9" s="16" t="str">
        <f>"G"&amp;B9</f>
        <v>G22</v>
      </c>
    </row>
    <row r="10" spans="1:6" ht="13.5" thickBot="1" x14ac:dyDescent="0.25">
      <c r="A10" s="12"/>
      <c r="B10" s="12"/>
      <c r="C10" s="6" t="s">
        <v>23</v>
      </c>
      <c r="D10" s="6" t="s">
        <v>24</v>
      </c>
      <c r="E10" s="12"/>
    </row>
    <row r="11" spans="1:6" x14ac:dyDescent="0.2">
      <c r="A11" s="12" t="s">
        <v>19</v>
      </c>
      <c r="B11" s="12"/>
      <c r="C11" s="14">
        <f ca="1">INTERCEPT(INDIRECT($D$9):G992,INDIRECT($C$9):F992)</f>
        <v>0.22101051399909127</v>
      </c>
      <c r="D11" s="5"/>
      <c r="E11" s="12"/>
    </row>
    <row r="12" spans="1:6" x14ac:dyDescent="0.2">
      <c r="A12" s="12" t="s">
        <v>20</v>
      </c>
      <c r="B12" s="12"/>
      <c r="C12" s="14">
        <f ca="1">SLOPE(INDIRECT($D$9):G992,INDIRECT($C$9):F992)</f>
        <v>-1.1516309082695759E-5</v>
      </c>
      <c r="D12" s="5"/>
      <c r="E12" s="12"/>
    </row>
    <row r="13" spans="1:6" x14ac:dyDescent="0.2">
      <c r="A13" s="12" t="s">
        <v>22</v>
      </c>
      <c r="B13" s="12"/>
      <c r="C13" s="5" t="s">
        <v>17</v>
      </c>
      <c r="D13" s="5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7" t="s">
        <v>21</v>
      </c>
      <c r="B15" s="12"/>
      <c r="C15" s="18">
        <f ca="1">(C7+C11)+(C8+C12)*INT(MAX(F21:F3533))</f>
        <v>57220.164789167575</v>
      </c>
      <c r="E15" s="19" t="s">
        <v>123</v>
      </c>
      <c r="F15" s="13">
        <v>1</v>
      </c>
    </row>
    <row r="16" spans="1:6" x14ac:dyDescent="0.2">
      <c r="A16" s="21" t="s">
        <v>7</v>
      </c>
      <c r="B16" s="12"/>
      <c r="C16" s="22">
        <f ca="1">+C8+C12</f>
        <v>0.99775448369091735</v>
      </c>
      <c r="E16" s="19" t="s">
        <v>37</v>
      </c>
      <c r="F16" s="20">
        <f ca="1">NOW()+15018.5+$C$5/24</f>
        <v>60320.681078240741</v>
      </c>
    </row>
    <row r="17" spans="1:31" ht="13.5" thickBot="1" x14ac:dyDescent="0.25">
      <c r="A17" s="19" t="s">
        <v>33</v>
      </c>
      <c r="B17" s="12"/>
      <c r="C17" s="12">
        <f>COUNT(C21:C2191)</f>
        <v>6</v>
      </c>
      <c r="E17" s="19" t="s">
        <v>124</v>
      </c>
      <c r="F17" s="20">
        <f ca="1">ROUND(2*(F16-$C$7)/$C$8,0)/2+F15</f>
        <v>34952.5</v>
      </c>
    </row>
    <row r="18" spans="1:31" ht="14.25" thickTop="1" thickBot="1" x14ac:dyDescent="0.25">
      <c r="A18" s="21" t="s">
        <v>8</v>
      </c>
      <c r="B18" s="12"/>
      <c r="C18" s="24">
        <f ca="1">+C15</f>
        <v>57220.164789167575</v>
      </c>
      <c r="D18" s="25">
        <f ca="1">+C16</f>
        <v>0.99775448369091735</v>
      </c>
      <c r="E18" s="19" t="s">
        <v>38</v>
      </c>
      <c r="F18" s="16">
        <f ca="1">ROUND(2*(F16-$C$15)/$C$16,0)/2+F15</f>
        <v>3108.5</v>
      </c>
    </row>
    <row r="19" spans="1:31" ht="13.5" thickTop="1" x14ac:dyDescent="0.2">
      <c r="E19" s="19" t="s">
        <v>39</v>
      </c>
      <c r="F19" s="23">
        <f ca="1">+$C$15+$C$16*F18-15018.5-$C$5/24</f>
        <v>45303.580435054129</v>
      </c>
    </row>
    <row r="20" spans="1:3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51</v>
      </c>
      <c r="I20" s="9" t="s">
        <v>54</v>
      </c>
      <c r="J20" s="9" t="s">
        <v>48</v>
      </c>
      <c r="K20" s="9" t="s">
        <v>43</v>
      </c>
      <c r="L20" s="9" t="s">
        <v>120</v>
      </c>
      <c r="M20" s="9" t="s">
        <v>121</v>
      </c>
      <c r="N20" s="9" t="s">
        <v>122</v>
      </c>
      <c r="O20" s="9" t="s">
        <v>26</v>
      </c>
      <c r="P20" s="8" t="s">
        <v>25</v>
      </c>
      <c r="Q20" s="6" t="s">
        <v>18</v>
      </c>
      <c r="U20" s="54" t="s">
        <v>1</v>
      </c>
    </row>
    <row r="21" spans="1:31" x14ac:dyDescent="0.2">
      <c r="A21" s="28" t="s">
        <v>15</v>
      </c>
      <c r="B21" s="28"/>
      <c r="C21" s="29">
        <v>25447.45</v>
      </c>
      <c r="D21" s="29" t="s">
        <v>17</v>
      </c>
      <c r="E21" s="28">
        <f t="shared" ref="E21:E26" si="0">+(C21-C$7)/C$8</f>
        <v>0</v>
      </c>
      <c r="F21" s="28">
        <f>ROUND(2*E21,0)/2</f>
        <v>0</v>
      </c>
      <c r="G21" s="28">
        <f>+C21-(C$7+F21*C$8)</f>
        <v>0</v>
      </c>
      <c r="H21" s="28">
        <f>+G21</f>
        <v>0</v>
      </c>
      <c r="I21" s="28"/>
      <c r="J21" s="28"/>
      <c r="O21">
        <f t="shared" ref="O21:O26" ca="1" si="1">+C$11+C$12*F21</f>
        <v>0.22101051399909127</v>
      </c>
      <c r="Q21" s="2">
        <f t="shared" ref="Q21:Q26" si="2">+C21-15018.5</f>
        <v>10428.950000000001</v>
      </c>
    </row>
    <row r="22" spans="1:31" x14ac:dyDescent="0.2">
      <c r="A22" s="28" t="s">
        <v>29</v>
      </c>
      <c r="B22" s="28"/>
      <c r="C22" s="29">
        <v>47304.49</v>
      </c>
      <c r="D22" s="29"/>
      <c r="E22" s="28">
        <f t="shared" si="0"/>
        <v>21905.97795475091</v>
      </c>
      <c r="F22" s="28">
        <f>ROUND(2*E22,0)/2</f>
        <v>21906</v>
      </c>
      <c r="G22" s="28">
        <f>+C22-(C$7+F22*C$8)</f>
        <v>-2.1996000003127847E-2</v>
      </c>
      <c r="H22" s="28"/>
      <c r="I22" s="28">
        <f>G22</f>
        <v>-2.1996000003127847E-2</v>
      </c>
      <c r="J22" s="28"/>
      <c r="O22">
        <f t="shared" ca="1" si="1"/>
        <v>-3.1265752766442001E-2</v>
      </c>
      <c r="Q22" s="2">
        <f t="shared" si="2"/>
        <v>32285.989999999998</v>
      </c>
      <c r="AA22">
        <v>7</v>
      </c>
      <c r="AC22" t="s">
        <v>28</v>
      </c>
      <c r="AE22" t="s">
        <v>30</v>
      </c>
    </row>
    <row r="23" spans="1:31" x14ac:dyDescent="0.2">
      <c r="A23" s="28" t="s">
        <v>31</v>
      </c>
      <c r="B23" s="28"/>
      <c r="C23" s="29">
        <v>49934.552000000003</v>
      </c>
      <c r="D23" s="29">
        <v>0.01</v>
      </c>
      <c r="E23" s="28">
        <f t="shared" si="0"/>
        <v>24541.928668645756</v>
      </c>
      <c r="F23" s="28">
        <f>ROUND(2*E23,0)/2</f>
        <v>24542</v>
      </c>
      <c r="G23" s="28">
        <f>+C23-(C$7+F23*C$8)</f>
        <v>-7.1172000003571156E-2</v>
      </c>
      <c r="H23" s="28"/>
      <c r="I23" s="28">
        <f>G23</f>
        <v>-7.1172000003571156E-2</v>
      </c>
      <c r="J23" s="28"/>
      <c r="O23">
        <f t="shared" ca="1" si="1"/>
        <v>-6.1622743508428057E-2</v>
      </c>
      <c r="Q23" s="2">
        <f t="shared" si="2"/>
        <v>34916.052000000003</v>
      </c>
      <c r="AA23">
        <v>30</v>
      </c>
      <c r="AC23" t="s">
        <v>28</v>
      </c>
      <c r="AE23" t="s">
        <v>30</v>
      </c>
    </row>
    <row r="24" spans="1:31" x14ac:dyDescent="0.2">
      <c r="A24" s="30" t="s">
        <v>41</v>
      </c>
      <c r="B24" s="31" t="s">
        <v>42</v>
      </c>
      <c r="C24" s="32">
        <v>51758.446000000004</v>
      </c>
      <c r="D24" s="32" t="s">
        <v>43</v>
      </c>
      <c r="E24" s="28">
        <f t="shared" si="0"/>
        <v>26369.906370832443</v>
      </c>
      <c r="F24" s="28">
        <f>ROUND(2*E24,0)/2</f>
        <v>26370</v>
      </c>
      <c r="G24" s="28">
        <f>+C24-(C$7+F24*C$8)</f>
        <v>-9.3419999997422565E-2</v>
      </c>
      <c r="H24" s="28"/>
      <c r="J24" s="28">
        <f>G24</f>
        <v>-9.3419999997422565E-2</v>
      </c>
      <c r="O24">
        <f t="shared" ca="1" si="1"/>
        <v>-8.2674556511595887E-2</v>
      </c>
      <c r="Q24" s="2">
        <f t="shared" si="2"/>
        <v>36739.946000000004</v>
      </c>
    </row>
    <row r="25" spans="1:31" x14ac:dyDescent="0.2">
      <c r="A25" s="33" t="s">
        <v>44</v>
      </c>
      <c r="B25" s="34" t="s">
        <v>42</v>
      </c>
      <c r="C25" s="35">
        <v>53923.595000000001</v>
      </c>
      <c r="D25" s="35">
        <v>3.0000000000000001E-3</v>
      </c>
      <c r="E25" s="28">
        <f t="shared" si="0"/>
        <v>28539.903143622854</v>
      </c>
      <c r="F25" s="28">
        <f>ROUND(2*E25,0)/2</f>
        <v>28540</v>
      </c>
      <c r="G25" s="28">
        <f>+C25-(C$7+F25*C$8)</f>
        <v>-9.6640000003390014E-2</v>
      </c>
      <c r="H25" s="28"/>
      <c r="I25" s="28">
        <f>G25</f>
        <v>-9.6640000003390014E-2</v>
      </c>
      <c r="O25">
        <f t="shared" ca="1" si="1"/>
        <v>-0.10766494722104569</v>
      </c>
      <c r="Q25" s="2">
        <f t="shared" si="2"/>
        <v>38905.095000000001</v>
      </c>
    </row>
    <row r="26" spans="1:31" x14ac:dyDescent="0.2">
      <c r="A26" s="50" t="s">
        <v>0</v>
      </c>
      <c r="B26" s="51" t="s">
        <v>2</v>
      </c>
      <c r="C26" s="52">
        <v>57220.502</v>
      </c>
      <c r="D26" s="53">
        <v>0.01</v>
      </c>
      <c r="E26" s="28">
        <f t="shared" si="0"/>
        <v>31844.191924759911</v>
      </c>
      <c r="F26" s="28">
        <f>ROUND(2*E26,0)/2+0.5</f>
        <v>31844.5</v>
      </c>
      <c r="H26" s="28"/>
      <c r="I26" s="28"/>
      <c r="O26">
        <f t="shared" ca="1" si="1"/>
        <v>-0.14572059058481379</v>
      </c>
      <c r="Q26" s="2">
        <f t="shared" si="2"/>
        <v>42202.002</v>
      </c>
      <c r="U26" s="28">
        <f>+C26-(C$7+F26*C$8)</f>
        <v>-0.30738700000074459</v>
      </c>
    </row>
    <row r="27" spans="1:31" x14ac:dyDescent="0.2">
      <c r="D27" s="5"/>
      <c r="Q27" s="2"/>
    </row>
    <row r="28" spans="1:31" x14ac:dyDescent="0.2">
      <c r="D28" s="5"/>
    </row>
    <row r="29" spans="1:31" x14ac:dyDescent="0.2">
      <c r="D29" s="5"/>
    </row>
    <row r="30" spans="1:31" x14ac:dyDescent="0.2">
      <c r="D30" s="5"/>
    </row>
    <row r="31" spans="1:31" x14ac:dyDescent="0.2">
      <c r="D31" s="5"/>
    </row>
    <row r="32" spans="1:31" x14ac:dyDescent="0.2">
      <c r="D32" s="5"/>
    </row>
    <row r="33" spans="4:4" x14ac:dyDescent="0.2">
      <c r="D33" s="5"/>
    </row>
    <row r="34" spans="4:4" x14ac:dyDescent="0.2">
      <c r="D34" s="5"/>
    </row>
    <row r="35" spans="4:4" x14ac:dyDescent="0.2">
      <c r="D35" s="5"/>
    </row>
    <row r="36" spans="4:4" x14ac:dyDescent="0.2">
      <c r="D36" s="5"/>
    </row>
    <row r="37" spans="4:4" x14ac:dyDescent="0.2">
      <c r="D37" s="5"/>
    </row>
    <row r="38" spans="4:4" x14ac:dyDescent="0.2">
      <c r="D38" s="5"/>
    </row>
    <row r="39" spans="4:4" x14ac:dyDescent="0.2">
      <c r="D39" s="5"/>
    </row>
    <row r="40" spans="4:4" x14ac:dyDescent="0.2">
      <c r="D40" s="5"/>
    </row>
    <row r="41" spans="4:4" x14ac:dyDescent="0.2">
      <c r="D41" s="5"/>
    </row>
    <row r="42" spans="4:4" x14ac:dyDescent="0.2">
      <c r="D42" s="5"/>
    </row>
    <row r="43" spans="4:4" x14ac:dyDescent="0.2">
      <c r="D43" s="5"/>
    </row>
    <row r="44" spans="4:4" x14ac:dyDescent="0.2">
      <c r="D44" s="5"/>
    </row>
    <row r="45" spans="4:4" x14ac:dyDescent="0.2">
      <c r="D45" s="5"/>
    </row>
    <row r="46" spans="4:4" x14ac:dyDescent="0.2">
      <c r="D46" s="5"/>
    </row>
  </sheetData>
  <phoneticPr fontId="8" type="noConversion"/>
  <hyperlinks>
    <hyperlink ref="H340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topLeftCell="E5" workbookViewId="0">
      <selection activeCell="F46" sqref="F46"/>
    </sheetView>
  </sheetViews>
  <sheetFormatPr defaultRowHeight="12.75" x14ac:dyDescent="0.2"/>
  <cols>
    <col min="1" max="1" width="19.7109375" style="37" customWidth="1"/>
    <col min="2" max="2" width="4.42578125" style="12" customWidth="1"/>
    <col min="3" max="3" width="12.7109375" style="37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7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45</v>
      </c>
      <c r="I1" s="38" t="s">
        <v>46</v>
      </c>
      <c r="J1" s="39" t="s">
        <v>43</v>
      </c>
    </row>
    <row r="2" spans="1:16" x14ac:dyDescent="0.2">
      <c r="I2" s="40" t="s">
        <v>47</v>
      </c>
      <c r="J2" s="41" t="s">
        <v>48</v>
      </c>
    </row>
    <row r="3" spans="1:16" x14ac:dyDescent="0.2">
      <c r="A3" s="42" t="s">
        <v>49</v>
      </c>
      <c r="I3" s="40" t="s">
        <v>50</v>
      </c>
      <c r="J3" s="41" t="s">
        <v>51</v>
      </c>
    </row>
    <row r="4" spans="1:16" x14ac:dyDescent="0.2">
      <c r="I4" s="40" t="s">
        <v>52</v>
      </c>
      <c r="J4" s="41" t="s">
        <v>51</v>
      </c>
    </row>
    <row r="5" spans="1:16" ht="13.5" thickBot="1" x14ac:dyDescent="0.25">
      <c r="I5" s="43" t="s">
        <v>53</v>
      </c>
      <c r="J5" s="44" t="s">
        <v>54</v>
      </c>
    </row>
    <row r="10" spans="1:16" ht="13.5" thickBot="1" x14ac:dyDescent="0.25"/>
    <row r="11" spans="1:16" ht="12.75" customHeight="1" thickBot="1" x14ac:dyDescent="0.25">
      <c r="A11" s="37" t="str">
        <f t="shared" ref="A11:A27" si="0">P11</f>
        <v> MVS 3.153 </v>
      </c>
      <c r="B11" s="5" t="str">
        <f t="shared" ref="B11:B27" si="1">IF(H11=INT(H11),"I","II")</f>
        <v>II</v>
      </c>
      <c r="C11" s="37">
        <f t="shared" ref="C11:C27" si="2">1*G11</f>
        <v>25447.446</v>
      </c>
      <c r="D11" s="12" t="str">
        <f t="shared" ref="D11:D27" si="3">VLOOKUP(F11,I$1:J$5,2,FALSE)</f>
        <v>vis</v>
      </c>
      <c r="E11" s="45" t="s">
        <v>55</v>
      </c>
      <c r="F11" s="5" t="s">
        <v>53</v>
      </c>
      <c r="G11" s="12" t="str">
        <f t="shared" ref="G11:G27" si="4">MID(I11,3,LEN(I11)-3)</f>
        <v>25447.446</v>
      </c>
      <c r="H11" s="37">
        <f t="shared" ref="H11:H27" si="5">1*K11</f>
        <v>-45535.5</v>
      </c>
      <c r="I11" s="46" t="s">
        <v>57</v>
      </c>
      <c r="J11" s="47" t="s">
        <v>58</v>
      </c>
      <c r="K11" s="46">
        <v>-45535.5</v>
      </c>
      <c r="L11" s="46" t="s">
        <v>59</v>
      </c>
      <c r="M11" s="47" t="s">
        <v>60</v>
      </c>
      <c r="N11" s="47"/>
      <c r="O11" s="48" t="s">
        <v>61</v>
      </c>
      <c r="P11" s="48" t="s">
        <v>62</v>
      </c>
    </row>
    <row r="12" spans="1:16" ht="12.75" customHeight="1" thickBot="1" x14ac:dyDescent="0.25">
      <c r="A12" s="37" t="str">
        <f t="shared" si="0"/>
        <v> MVS 3.153 </v>
      </c>
      <c r="B12" s="5" t="str">
        <f t="shared" si="1"/>
        <v>II</v>
      </c>
      <c r="C12" s="37">
        <f t="shared" si="2"/>
        <v>25535.319</v>
      </c>
      <c r="D12" s="12" t="str">
        <f t="shared" si="3"/>
        <v>vis</v>
      </c>
      <c r="E12" s="45" t="s">
        <v>55</v>
      </c>
      <c r="F12" s="5" t="s">
        <v>53</v>
      </c>
      <c r="G12" s="12" t="str">
        <f t="shared" si="4"/>
        <v>25535.319</v>
      </c>
      <c r="H12" s="37">
        <f t="shared" si="5"/>
        <v>-45403.5</v>
      </c>
      <c r="I12" s="46" t="s">
        <v>63</v>
      </c>
      <c r="J12" s="47" t="s">
        <v>64</v>
      </c>
      <c r="K12" s="46">
        <v>-45403.5</v>
      </c>
      <c r="L12" s="46" t="s">
        <v>65</v>
      </c>
      <c r="M12" s="47" t="s">
        <v>60</v>
      </c>
      <c r="N12" s="47"/>
      <c r="O12" s="48" t="s">
        <v>61</v>
      </c>
      <c r="P12" s="48" t="s">
        <v>62</v>
      </c>
    </row>
    <row r="13" spans="1:16" ht="12.75" customHeight="1" thickBot="1" x14ac:dyDescent="0.25">
      <c r="A13" s="37" t="str">
        <f t="shared" si="0"/>
        <v> MVS 3.153 </v>
      </c>
      <c r="B13" s="5" t="str">
        <f t="shared" si="1"/>
        <v>II</v>
      </c>
      <c r="C13" s="37">
        <f t="shared" si="2"/>
        <v>27214.506000000001</v>
      </c>
      <c r="D13" s="12" t="str">
        <f t="shared" si="3"/>
        <v>vis</v>
      </c>
      <c r="E13" s="45" t="s">
        <v>55</v>
      </c>
      <c r="F13" s="5" t="s">
        <v>53</v>
      </c>
      <c r="G13" s="12" t="str">
        <f t="shared" si="4"/>
        <v>27214.506</v>
      </c>
      <c r="H13" s="37">
        <f t="shared" si="5"/>
        <v>-42881.5</v>
      </c>
      <c r="I13" s="46" t="s">
        <v>66</v>
      </c>
      <c r="J13" s="47" t="s">
        <v>67</v>
      </c>
      <c r="K13" s="46">
        <v>-42881.5</v>
      </c>
      <c r="L13" s="46" t="s">
        <v>68</v>
      </c>
      <c r="M13" s="47" t="s">
        <v>60</v>
      </c>
      <c r="N13" s="47"/>
      <c r="O13" s="48" t="s">
        <v>61</v>
      </c>
      <c r="P13" s="48" t="s">
        <v>62</v>
      </c>
    </row>
    <row r="14" spans="1:16" ht="12.75" customHeight="1" thickBot="1" x14ac:dyDescent="0.25">
      <c r="A14" s="37" t="str">
        <f t="shared" si="0"/>
        <v> MVS 3.153 </v>
      </c>
      <c r="B14" s="5" t="str">
        <f t="shared" si="1"/>
        <v>II</v>
      </c>
      <c r="C14" s="37">
        <f t="shared" si="2"/>
        <v>37542.35</v>
      </c>
      <c r="D14" s="12" t="str">
        <f t="shared" si="3"/>
        <v>vis</v>
      </c>
      <c r="E14" s="45" t="s">
        <v>55</v>
      </c>
      <c r="F14" s="5" t="s">
        <v>53</v>
      </c>
      <c r="G14" s="12" t="str">
        <f t="shared" si="4"/>
        <v>37542.35</v>
      </c>
      <c r="H14" s="37">
        <f t="shared" si="5"/>
        <v>-27370.5</v>
      </c>
      <c r="I14" s="46" t="s">
        <v>69</v>
      </c>
      <c r="J14" s="47" t="s">
        <v>70</v>
      </c>
      <c r="K14" s="46">
        <v>-27370.5</v>
      </c>
      <c r="L14" s="46" t="s">
        <v>71</v>
      </c>
      <c r="M14" s="47" t="s">
        <v>56</v>
      </c>
      <c r="N14" s="47"/>
      <c r="O14" s="48" t="s">
        <v>61</v>
      </c>
      <c r="P14" s="48" t="s">
        <v>62</v>
      </c>
    </row>
    <row r="15" spans="1:16" ht="12.75" customHeight="1" thickBot="1" x14ac:dyDescent="0.25">
      <c r="A15" s="37" t="str">
        <f t="shared" si="0"/>
        <v> MVS 3.153 </v>
      </c>
      <c r="B15" s="5" t="str">
        <f t="shared" si="1"/>
        <v>I</v>
      </c>
      <c r="C15" s="37">
        <f t="shared" si="2"/>
        <v>37543.370000000003</v>
      </c>
      <c r="D15" s="12" t="str">
        <f t="shared" si="3"/>
        <v>vis</v>
      </c>
      <c r="E15" s="45" t="s">
        <v>55</v>
      </c>
      <c r="F15" s="5" t="s">
        <v>53</v>
      </c>
      <c r="G15" s="12" t="str">
        <f t="shared" si="4"/>
        <v>37543.37</v>
      </c>
      <c r="H15" s="37">
        <f t="shared" si="5"/>
        <v>-27369</v>
      </c>
      <c r="I15" s="46" t="s">
        <v>72</v>
      </c>
      <c r="J15" s="47" t="s">
        <v>73</v>
      </c>
      <c r="K15" s="46">
        <v>-27369</v>
      </c>
      <c r="L15" s="46" t="s">
        <v>74</v>
      </c>
      <c r="M15" s="47" t="s">
        <v>56</v>
      </c>
      <c r="N15" s="47"/>
      <c r="O15" s="48" t="s">
        <v>61</v>
      </c>
      <c r="P15" s="48" t="s">
        <v>62</v>
      </c>
    </row>
    <row r="16" spans="1:16" ht="12.75" customHeight="1" thickBot="1" x14ac:dyDescent="0.25">
      <c r="A16" s="37" t="str">
        <f t="shared" si="0"/>
        <v> MVS 3.153 </v>
      </c>
      <c r="B16" s="5" t="str">
        <f t="shared" si="1"/>
        <v>II</v>
      </c>
      <c r="C16" s="37">
        <f t="shared" si="2"/>
        <v>37544.36</v>
      </c>
      <c r="D16" s="12" t="str">
        <f t="shared" si="3"/>
        <v>vis</v>
      </c>
      <c r="E16" s="45" t="s">
        <v>55</v>
      </c>
      <c r="F16" s="5" t="s">
        <v>53</v>
      </c>
      <c r="G16" s="12" t="str">
        <f t="shared" si="4"/>
        <v>37544.36</v>
      </c>
      <c r="H16" s="37">
        <f t="shared" si="5"/>
        <v>-27367.5</v>
      </c>
      <c r="I16" s="46" t="s">
        <v>75</v>
      </c>
      <c r="J16" s="47" t="s">
        <v>76</v>
      </c>
      <c r="K16" s="46">
        <v>-27367.5</v>
      </c>
      <c r="L16" s="46" t="s">
        <v>77</v>
      </c>
      <c r="M16" s="47" t="s">
        <v>56</v>
      </c>
      <c r="N16" s="47"/>
      <c r="O16" s="48" t="s">
        <v>61</v>
      </c>
      <c r="P16" s="48" t="s">
        <v>62</v>
      </c>
    </row>
    <row r="17" spans="1:16" ht="12.75" customHeight="1" thickBot="1" x14ac:dyDescent="0.25">
      <c r="A17" s="37" t="str">
        <f t="shared" si="0"/>
        <v> MVS 3.153 </v>
      </c>
      <c r="B17" s="5" t="str">
        <f t="shared" si="1"/>
        <v>I</v>
      </c>
      <c r="C17" s="37">
        <f t="shared" si="2"/>
        <v>37559.339999999997</v>
      </c>
      <c r="D17" s="12" t="str">
        <f t="shared" si="3"/>
        <v>vis</v>
      </c>
      <c r="E17" s="45" t="s">
        <v>55</v>
      </c>
      <c r="F17" s="5" t="s">
        <v>53</v>
      </c>
      <c r="G17" s="12" t="str">
        <f t="shared" si="4"/>
        <v>37559.34</v>
      </c>
      <c r="H17" s="37">
        <f t="shared" si="5"/>
        <v>-27345</v>
      </c>
      <c r="I17" s="46" t="s">
        <v>78</v>
      </c>
      <c r="J17" s="47" t="s">
        <v>79</v>
      </c>
      <c r="K17" s="46">
        <v>-27345</v>
      </c>
      <c r="L17" s="46" t="s">
        <v>77</v>
      </c>
      <c r="M17" s="47" t="s">
        <v>56</v>
      </c>
      <c r="N17" s="47"/>
      <c r="O17" s="48" t="s">
        <v>61</v>
      </c>
      <c r="P17" s="48" t="s">
        <v>62</v>
      </c>
    </row>
    <row r="18" spans="1:16" ht="12.75" customHeight="1" thickBot="1" x14ac:dyDescent="0.25">
      <c r="A18" s="37" t="str">
        <f t="shared" si="0"/>
        <v> MVS 3.153 </v>
      </c>
      <c r="B18" s="5" t="str">
        <f t="shared" si="1"/>
        <v>I</v>
      </c>
      <c r="C18" s="37">
        <f t="shared" si="2"/>
        <v>37575.300000000003</v>
      </c>
      <c r="D18" s="12" t="str">
        <f t="shared" si="3"/>
        <v>vis</v>
      </c>
      <c r="E18" s="45" t="s">
        <v>55</v>
      </c>
      <c r="F18" s="5" t="s">
        <v>53</v>
      </c>
      <c r="G18" s="12" t="str">
        <f t="shared" si="4"/>
        <v>37575.30</v>
      </c>
      <c r="H18" s="37">
        <f t="shared" si="5"/>
        <v>-27321</v>
      </c>
      <c r="I18" s="46" t="s">
        <v>80</v>
      </c>
      <c r="J18" s="47" t="s">
        <v>81</v>
      </c>
      <c r="K18" s="46">
        <v>-27321</v>
      </c>
      <c r="L18" s="46" t="s">
        <v>82</v>
      </c>
      <c r="M18" s="47" t="s">
        <v>56</v>
      </c>
      <c r="N18" s="47"/>
      <c r="O18" s="48" t="s">
        <v>61</v>
      </c>
      <c r="P18" s="48" t="s">
        <v>62</v>
      </c>
    </row>
    <row r="19" spans="1:16" ht="12.75" customHeight="1" thickBot="1" x14ac:dyDescent="0.25">
      <c r="A19" s="37" t="str">
        <f t="shared" si="0"/>
        <v> MVS 3.153 </v>
      </c>
      <c r="B19" s="5" t="str">
        <f t="shared" si="1"/>
        <v>I</v>
      </c>
      <c r="C19" s="37">
        <f t="shared" si="2"/>
        <v>37577.32</v>
      </c>
      <c r="D19" s="12" t="str">
        <f t="shared" si="3"/>
        <v>vis</v>
      </c>
      <c r="E19" s="45" t="s">
        <v>55</v>
      </c>
      <c r="F19" s="5" t="s">
        <v>53</v>
      </c>
      <c r="G19" s="12" t="str">
        <f t="shared" si="4"/>
        <v>37577.32</v>
      </c>
      <c r="H19" s="37">
        <f t="shared" si="5"/>
        <v>-27318</v>
      </c>
      <c r="I19" s="46" t="s">
        <v>83</v>
      </c>
      <c r="J19" s="47" t="s">
        <v>84</v>
      </c>
      <c r="K19" s="46">
        <v>-27318</v>
      </c>
      <c r="L19" s="46" t="s">
        <v>77</v>
      </c>
      <c r="M19" s="47" t="s">
        <v>56</v>
      </c>
      <c r="N19" s="47"/>
      <c r="O19" s="48" t="s">
        <v>61</v>
      </c>
      <c r="P19" s="48" t="s">
        <v>62</v>
      </c>
    </row>
    <row r="20" spans="1:16" ht="12.75" customHeight="1" thickBot="1" x14ac:dyDescent="0.25">
      <c r="A20" s="37" t="str">
        <f t="shared" si="0"/>
        <v> MVS 3.153 </v>
      </c>
      <c r="B20" s="5" t="str">
        <f t="shared" si="1"/>
        <v>I</v>
      </c>
      <c r="C20" s="37">
        <f t="shared" si="2"/>
        <v>37587.269999999997</v>
      </c>
      <c r="D20" s="12" t="str">
        <f t="shared" si="3"/>
        <v>vis</v>
      </c>
      <c r="E20" s="45" t="s">
        <v>55</v>
      </c>
      <c r="F20" s="5" t="s">
        <v>53</v>
      </c>
      <c r="G20" s="12" t="str">
        <f t="shared" si="4"/>
        <v>37587.27</v>
      </c>
      <c r="H20" s="37">
        <f t="shared" si="5"/>
        <v>-27303</v>
      </c>
      <c r="I20" s="46" t="s">
        <v>85</v>
      </c>
      <c r="J20" s="47" t="s">
        <v>86</v>
      </c>
      <c r="K20" s="46">
        <v>-27303</v>
      </c>
      <c r="L20" s="46" t="s">
        <v>87</v>
      </c>
      <c r="M20" s="47" t="s">
        <v>56</v>
      </c>
      <c r="N20" s="47"/>
      <c r="O20" s="48" t="s">
        <v>61</v>
      </c>
      <c r="P20" s="48" t="s">
        <v>62</v>
      </c>
    </row>
    <row r="21" spans="1:16" ht="12.75" customHeight="1" thickBot="1" x14ac:dyDescent="0.25">
      <c r="A21" s="37" t="str">
        <f t="shared" si="0"/>
        <v> MVS 3.153 </v>
      </c>
      <c r="B21" s="5" t="str">
        <f t="shared" si="1"/>
        <v>II</v>
      </c>
      <c r="C21" s="37">
        <f t="shared" si="2"/>
        <v>37876.58</v>
      </c>
      <c r="D21" s="12" t="str">
        <f t="shared" si="3"/>
        <v>vis</v>
      </c>
      <c r="E21" s="45" t="s">
        <v>55</v>
      </c>
      <c r="F21" s="5" t="s">
        <v>53</v>
      </c>
      <c r="G21" s="12" t="str">
        <f t="shared" si="4"/>
        <v>37876.58</v>
      </c>
      <c r="H21" s="37">
        <f t="shared" si="5"/>
        <v>-26868.5</v>
      </c>
      <c r="I21" s="46" t="s">
        <v>88</v>
      </c>
      <c r="J21" s="47" t="s">
        <v>89</v>
      </c>
      <c r="K21" s="46">
        <v>-26868.5</v>
      </c>
      <c r="L21" s="46" t="s">
        <v>90</v>
      </c>
      <c r="M21" s="47" t="s">
        <v>56</v>
      </c>
      <c r="N21" s="47"/>
      <c r="O21" s="48" t="s">
        <v>61</v>
      </c>
      <c r="P21" s="48" t="s">
        <v>62</v>
      </c>
    </row>
    <row r="22" spans="1:16" ht="12.75" customHeight="1" thickBot="1" x14ac:dyDescent="0.25">
      <c r="A22" s="37" t="str">
        <f t="shared" si="0"/>
        <v> MVS 3.153 </v>
      </c>
      <c r="B22" s="5" t="str">
        <f t="shared" si="1"/>
        <v>II</v>
      </c>
      <c r="C22" s="37">
        <f t="shared" si="2"/>
        <v>37886.559999999998</v>
      </c>
      <c r="D22" s="12" t="str">
        <f t="shared" si="3"/>
        <v>vis</v>
      </c>
      <c r="E22" s="45" t="s">
        <v>55</v>
      </c>
      <c r="F22" s="5" t="s">
        <v>53</v>
      </c>
      <c r="G22" s="12" t="str">
        <f t="shared" si="4"/>
        <v>37886.56</v>
      </c>
      <c r="H22" s="37">
        <f t="shared" si="5"/>
        <v>-26853.5</v>
      </c>
      <c r="I22" s="46" t="s">
        <v>91</v>
      </c>
      <c r="J22" s="47" t="s">
        <v>92</v>
      </c>
      <c r="K22" s="46">
        <v>-26853.5</v>
      </c>
      <c r="L22" s="46" t="s">
        <v>87</v>
      </c>
      <c r="M22" s="47" t="s">
        <v>56</v>
      </c>
      <c r="N22" s="47"/>
      <c r="O22" s="48" t="s">
        <v>61</v>
      </c>
      <c r="P22" s="48" t="s">
        <v>62</v>
      </c>
    </row>
    <row r="23" spans="1:16" ht="12.75" customHeight="1" thickBot="1" x14ac:dyDescent="0.25">
      <c r="A23" s="37" t="str">
        <f t="shared" si="0"/>
        <v> BBS 88 </v>
      </c>
      <c r="B23" s="5" t="str">
        <f t="shared" si="1"/>
        <v>I</v>
      </c>
      <c r="C23" s="37">
        <f t="shared" si="2"/>
        <v>47304.49</v>
      </c>
      <c r="D23" s="12" t="str">
        <f t="shared" si="3"/>
        <v>vis</v>
      </c>
      <c r="E23" s="45" t="s">
        <v>55</v>
      </c>
      <c r="F23" s="5" t="s">
        <v>53</v>
      </c>
      <c r="G23" s="12" t="str">
        <f t="shared" si="4"/>
        <v>47304.49</v>
      </c>
      <c r="H23" s="37">
        <f t="shared" si="5"/>
        <v>-12709</v>
      </c>
      <c r="I23" s="46" t="s">
        <v>93</v>
      </c>
      <c r="J23" s="47" t="s">
        <v>94</v>
      </c>
      <c r="K23" s="46">
        <v>-12709</v>
      </c>
      <c r="L23" s="46" t="s">
        <v>95</v>
      </c>
      <c r="M23" s="47" t="s">
        <v>96</v>
      </c>
      <c r="N23" s="47"/>
      <c r="O23" s="48" t="s">
        <v>97</v>
      </c>
      <c r="P23" s="48" t="s">
        <v>98</v>
      </c>
    </row>
    <row r="24" spans="1:16" ht="12.75" customHeight="1" thickBot="1" x14ac:dyDescent="0.25">
      <c r="A24" s="37" t="str">
        <f t="shared" si="0"/>
        <v> BRNO 31 </v>
      </c>
      <c r="B24" s="5" t="str">
        <f t="shared" si="1"/>
        <v>I</v>
      </c>
      <c r="C24" s="37">
        <f t="shared" si="2"/>
        <v>49516.466999999997</v>
      </c>
      <c r="D24" s="12" t="str">
        <f t="shared" si="3"/>
        <v>vis</v>
      </c>
      <c r="E24" s="45" t="s">
        <v>55</v>
      </c>
      <c r="F24" s="5" t="s">
        <v>53</v>
      </c>
      <c r="G24" s="12" t="str">
        <f t="shared" si="4"/>
        <v>49516.467</v>
      </c>
      <c r="H24" s="37">
        <f t="shared" si="5"/>
        <v>-9387</v>
      </c>
      <c r="I24" s="46" t="s">
        <v>99</v>
      </c>
      <c r="J24" s="47" t="s">
        <v>100</v>
      </c>
      <c r="K24" s="46">
        <v>-9387</v>
      </c>
      <c r="L24" s="46" t="s">
        <v>65</v>
      </c>
      <c r="M24" s="47" t="s">
        <v>96</v>
      </c>
      <c r="N24" s="47"/>
      <c r="O24" s="48" t="s">
        <v>101</v>
      </c>
      <c r="P24" s="48" t="s">
        <v>102</v>
      </c>
    </row>
    <row r="25" spans="1:16" ht="12.75" customHeight="1" thickBot="1" x14ac:dyDescent="0.25">
      <c r="A25" s="37" t="str">
        <f t="shared" si="0"/>
        <v> BBS 111 </v>
      </c>
      <c r="B25" s="5" t="str">
        <f t="shared" si="1"/>
        <v>I</v>
      </c>
      <c r="C25" s="37">
        <f t="shared" si="2"/>
        <v>49934.552000000003</v>
      </c>
      <c r="D25" s="12" t="str">
        <f t="shared" si="3"/>
        <v>vis</v>
      </c>
      <c r="E25" s="45" t="s">
        <v>55</v>
      </c>
      <c r="F25" s="5" t="s">
        <v>53</v>
      </c>
      <c r="G25" s="12" t="str">
        <f t="shared" si="4"/>
        <v>49934.552</v>
      </c>
      <c r="H25" s="37">
        <f t="shared" si="5"/>
        <v>-8759</v>
      </c>
      <c r="I25" s="46" t="s">
        <v>103</v>
      </c>
      <c r="J25" s="47" t="s">
        <v>104</v>
      </c>
      <c r="K25" s="46">
        <v>-8759</v>
      </c>
      <c r="L25" s="46" t="s">
        <v>105</v>
      </c>
      <c r="M25" s="47" t="s">
        <v>106</v>
      </c>
      <c r="N25" s="47" t="s">
        <v>107</v>
      </c>
      <c r="O25" s="48" t="s">
        <v>97</v>
      </c>
      <c r="P25" s="48" t="s">
        <v>108</v>
      </c>
    </row>
    <row r="26" spans="1:16" ht="12.75" customHeight="1" thickBot="1" x14ac:dyDescent="0.25">
      <c r="A26" s="37" t="str">
        <f t="shared" si="0"/>
        <v>OEJV 0074 </v>
      </c>
      <c r="B26" s="5" t="str">
        <f t="shared" si="1"/>
        <v>I</v>
      </c>
      <c r="C26" s="37">
        <f t="shared" si="2"/>
        <v>51758.446000000004</v>
      </c>
      <c r="D26" s="12" t="str">
        <f t="shared" si="3"/>
        <v>vis</v>
      </c>
      <c r="E26" s="45" t="s">
        <v>55</v>
      </c>
      <c r="F26" s="5" t="s">
        <v>53</v>
      </c>
      <c r="G26" s="12" t="str">
        <f t="shared" si="4"/>
        <v>51758.44600</v>
      </c>
      <c r="H26" s="37">
        <f t="shared" si="5"/>
        <v>-6020</v>
      </c>
      <c r="I26" s="46" t="s">
        <v>109</v>
      </c>
      <c r="J26" s="47" t="s">
        <v>110</v>
      </c>
      <c r="K26" s="46">
        <v>-6020</v>
      </c>
      <c r="L26" s="46" t="s">
        <v>111</v>
      </c>
      <c r="M26" s="47" t="s">
        <v>112</v>
      </c>
      <c r="N26" s="47" t="s">
        <v>113</v>
      </c>
      <c r="O26" s="48" t="s">
        <v>114</v>
      </c>
      <c r="P26" s="49" t="s">
        <v>115</v>
      </c>
    </row>
    <row r="27" spans="1:16" ht="12.75" customHeight="1" thickBot="1" x14ac:dyDescent="0.25">
      <c r="A27" s="37" t="str">
        <f t="shared" si="0"/>
        <v>OEJV 0048 </v>
      </c>
      <c r="B27" s="5" t="str">
        <f t="shared" si="1"/>
        <v>I</v>
      </c>
      <c r="C27" s="37">
        <f t="shared" si="2"/>
        <v>53923.595000000001</v>
      </c>
      <c r="D27" s="12" t="str">
        <f t="shared" si="3"/>
        <v>vis</v>
      </c>
      <c r="E27" s="45" t="s">
        <v>55</v>
      </c>
      <c r="F27" s="5" t="s">
        <v>53</v>
      </c>
      <c r="G27" s="12" t="str">
        <f t="shared" si="4"/>
        <v>53923.595</v>
      </c>
      <c r="H27" s="37">
        <f t="shared" si="5"/>
        <v>-2768</v>
      </c>
      <c r="I27" s="46" t="s">
        <v>116</v>
      </c>
      <c r="J27" s="47" t="s">
        <v>117</v>
      </c>
      <c r="K27" s="46">
        <v>-2768</v>
      </c>
      <c r="L27" s="46" t="s">
        <v>118</v>
      </c>
      <c r="M27" s="47" t="s">
        <v>112</v>
      </c>
      <c r="N27" s="47" t="s">
        <v>113</v>
      </c>
      <c r="O27" s="48" t="s">
        <v>97</v>
      </c>
      <c r="P27" s="49" t="s">
        <v>119</v>
      </c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</sheetData>
  <phoneticPr fontId="8" type="noConversion"/>
  <hyperlinks>
    <hyperlink ref="A3" r:id="rId1"/>
    <hyperlink ref="P26" r:id="rId2" display="http://var.astro.cz/oejv/issues/oejv0074.pdf"/>
    <hyperlink ref="P27" r:id="rId3" display="http://var.astro.cz/oejv/issues/oejv0048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2024-01-11T03:20:45Z</dcterms:modified>
</cp:coreProperties>
</file>