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FEA1DCE-0392-4496-ABFD-DFE841B91F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/>
  <c r="E41" i="1"/>
  <c r="F41" i="1"/>
  <c r="E45" i="1"/>
  <c r="F45" i="1"/>
  <c r="E51" i="1"/>
  <c r="F51" i="1"/>
  <c r="E53" i="1"/>
  <c r="F53" i="1"/>
  <c r="E46" i="1"/>
  <c r="F46" i="1"/>
  <c r="E48" i="1"/>
  <c r="F48" i="1"/>
  <c r="E40" i="1"/>
  <c r="F40" i="1"/>
  <c r="E22" i="1"/>
  <c r="F22" i="1"/>
  <c r="E27" i="1"/>
  <c r="F27" i="1"/>
  <c r="E23" i="1"/>
  <c r="F23" i="1"/>
  <c r="E26" i="1"/>
  <c r="F26" i="1"/>
  <c r="E30" i="1"/>
  <c r="F30" i="1"/>
  <c r="E32" i="1"/>
  <c r="F32" i="1"/>
  <c r="E34" i="1"/>
  <c r="F34" i="1"/>
  <c r="E36" i="1"/>
  <c r="F36" i="1"/>
  <c r="E38" i="1"/>
  <c r="F38" i="1"/>
  <c r="E56" i="1"/>
  <c r="F56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50" i="1"/>
  <c r="Q51" i="1"/>
  <c r="Q56" i="1"/>
  <c r="Q58" i="1"/>
  <c r="G21" i="2"/>
  <c r="C21" i="2"/>
  <c r="E21" i="2"/>
  <c r="G22" i="2"/>
  <c r="C22" i="2"/>
  <c r="G23" i="2"/>
  <c r="C23" i="2"/>
  <c r="G24" i="2"/>
  <c r="C24" i="2"/>
  <c r="E24" i="2"/>
  <c r="G25" i="2"/>
  <c r="C25" i="2"/>
  <c r="E25" i="2"/>
  <c r="G26" i="2"/>
  <c r="C26" i="2"/>
  <c r="G27" i="2"/>
  <c r="C27" i="2"/>
  <c r="G28" i="2"/>
  <c r="C28" i="2"/>
  <c r="E28" i="2"/>
  <c r="G29" i="2"/>
  <c r="C29" i="2"/>
  <c r="G30" i="2"/>
  <c r="C30" i="2"/>
  <c r="E30" i="2"/>
  <c r="G31" i="2"/>
  <c r="C31" i="2"/>
  <c r="G32" i="2"/>
  <c r="C32" i="2"/>
  <c r="E32" i="2"/>
  <c r="G33" i="2"/>
  <c r="C33" i="2"/>
  <c r="G34" i="2"/>
  <c r="C34" i="2"/>
  <c r="E34" i="2"/>
  <c r="G35" i="2"/>
  <c r="C35" i="2"/>
  <c r="G36" i="2"/>
  <c r="C36" i="2"/>
  <c r="E36" i="2"/>
  <c r="G37" i="2"/>
  <c r="C37" i="2"/>
  <c r="G38" i="2"/>
  <c r="C38" i="2"/>
  <c r="E38" i="2"/>
  <c r="G39" i="2"/>
  <c r="C39" i="2"/>
  <c r="E39" i="2"/>
  <c r="G40" i="2"/>
  <c r="C40" i="2"/>
  <c r="G41" i="2"/>
  <c r="C41" i="2"/>
  <c r="G42" i="2"/>
  <c r="C42" i="2"/>
  <c r="G43" i="2"/>
  <c r="C43" i="2"/>
  <c r="E43" i="2"/>
  <c r="G11" i="2"/>
  <c r="C11" i="2"/>
  <c r="E11" i="2"/>
  <c r="G12" i="2"/>
  <c r="C12" i="2"/>
  <c r="G13" i="2"/>
  <c r="C13" i="2"/>
  <c r="E13" i="2"/>
  <c r="G14" i="2"/>
  <c r="C14" i="2"/>
  <c r="G44" i="2"/>
  <c r="C44" i="2"/>
  <c r="G45" i="2"/>
  <c r="C45" i="2"/>
  <c r="E45" i="2"/>
  <c r="G15" i="2"/>
  <c r="C15" i="2"/>
  <c r="G16" i="2"/>
  <c r="C16" i="2"/>
  <c r="E16" i="2"/>
  <c r="G17" i="2"/>
  <c r="C17" i="2"/>
  <c r="G46" i="2"/>
  <c r="C46" i="2"/>
  <c r="E46" i="2"/>
  <c r="G18" i="2"/>
  <c r="C18" i="2"/>
  <c r="G47" i="2"/>
  <c r="C47" i="2"/>
  <c r="G19" i="2"/>
  <c r="C19" i="2"/>
  <c r="G20" i="2"/>
  <c r="C20" i="2"/>
  <c r="E20" i="2"/>
  <c r="H19" i="2"/>
  <c r="B19" i="2"/>
  <c r="D19" i="2"/>
  <c r="A19" i="2"/>
  <c r="H47" i="2"/>
  <c r="D47" i="2"/>
  <c r="B47" i="2"/>
  <c r="A47" i="2"/>
  <c r="H18" i="2"/>
  <c r="B18" i="2"/>
  <c r="D18" i="2"/>
  <c r="A18" i="2"/>
  <c r="H46" i="2"/>
  <c r="D46" i="2"/>
  <c r="B46" i="2"/>
  <c r="A46" i="2"/>
  <c r="H17" i="2"/>
  <c r="B17" i="2"/>
  <c r="D17" i="2"/>
  <c r="A17" i="2"/>
  <c r="H16" i="2"/>
  <c r="D16" i="2"/>
  <c r="B16" i="2"/>
  <c r="A16" i="2"/>
  <c r="H15" i="2"/>
  <c r="B15" i="2"/>
  <c r="D15" i="2"/>
  <c r="A15" i="2"/>
  <c r="H45" i="2"/>
  <c r="D45" i="2"/>
  <c r="B45" i="2"/>
  <c r="A45" i="2"/>
  <c r="H44" i="2"/>
  <c r="B44" i="2"/>
  <c r="D44" i="2"/>
  <c r="A44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F16" i="1"/>
  <c r="Q59" i="1"/>
  <c r="Q54" i="1"/>
  <c r="C17" i="1"/>
  <c r="Q57" i="1"/>
  <c r="Q46" i="1"/>
  <c r="Q47" i="1"/>
  <c r="Q48" i="1"/>
  <c r="Q49" i="1"/>
  <c r="Q52" i="1"/>
  <c r="Q53" i="1"/>
  <c r="Q55" i="1"/>
  <c r="C7" i="1"/>
  <c r="E57" i="1"/>
  <c r="F57" i="1"/>
  <c r="C8" i="1"/>
  <c r="Q21" i="1"/>
  <c r="E27" i="2"/>
  <c r="E18" i="2"/>
  <c r="E26" i="2"/>
  <c r="E29" i="2"/>
  <c r="G56" i="1"/>
  <c r="I56" i="1"/>
  <c r="G38" i="1"/>
  <c r="I38" i="1"/>
  <c r="G36" i="1"/>
  <c r="I36" i="1"/>
  <c r="G34" i="1"/>
  <c r="I34" i="1"/>
  <c r="G32" i="1"/>
  <c r="I32" i="1"/>
  <c r="G30" i="1"/>
  <c r="I30" i="1"/>
  <c r="G26" i="1"/>
  <c r="I26" i="1"/>
  <c r="G23" i="1"/>
  <c r="I23" i="1"/>
  <c r="G27" i="1"/>
  <c r="I27" i="1"/>
  <c r="G22" i="1"/>
  <c r="G40" i="1"/>
  <c r="I40" i="1"/>
  <c r="G48" i="1"/>
  <c r="I48" i="1"/>
  <c r="G46" i="1"/>
  <c r="I46" i="1"/>
  <c r="G53" i="1"/>
  <c r="I53" i="1"/>
  <c r="G51" i="1"/>
  <c r="I51" i="1"/>
  <c r="G45" i="1"/>
  <c r="I45" i="1"/>
  <c r="G41" i="1"/>
  <c r="I41" i="1"/>
  <c r="G54" i="1"/>
  <c r="J54" i="1"/>
  <c r="G21" i="1"/>
  <c r="H21" i="1"/>
  <c r="G24" i="1"/>
  <c r="I24" i="1"/>
  <c r="G28" i="1"/>
  <c r="I28" i="1"/>
  <c r="G50" i="1"/>
  <c r="I50" i="1"/>
  <c r="G44" i="1"/>
  <c r="I44" i="1"/>
  <c r="G57" i="1"/>
  <c r="J57" i="1"/>
  <c r="E43" i="1"/>
  <c r="E21" i="1"/>
  <c r="F21" i="1"/>
  <c r="E39" i="1"/>
  <c r="F39" i="1"/>
  <c r="G39" i="1"/>
  <c r="I39" i="1"/>
  <c r="E37" i="1"/>
  <c r="F37" i="1"/>
  <c r="G37" i="1"/>
  <c r="I37" i="1"/>
  <c r="E35" i="1"/>
  <c r="E33" i="1"/>
  <c r="F33" i="1"/>
  <c r="G33" i="1"/>
  <c r="I33" i="1"/>
  <c r="E31" i="1"/>
  <c r="F31" i="1"/>
  <c r="G31" i="1"/>
  <c r="I31" i="1"/>
  <c r="E29" i="1"/>
  <c r="F29" i="1"/>
  <c r="G29" i="1"/>
  <c r="I29" i="1"/>
  <c r="E24" i="1"/>
  <c r="F24" i="1"/>
  <c r="E28" i="1"/>
  <c r="F28" i="1"/>
  <c r="E25" i="1"/>
  <c r="F25" i="1"/>
  <c r="G25" i="1"/>
  <c r="I25" i="1"/>
  <c r="E58" i="1"/>
  <c r="F58" i="1"/>
  <c r="G58" i="1"/>
  <c r="I58" i="1"/>
  <c r="E49" i="1"/>
  <c r="F49" i="1"/>
  <c r="G49" i="1"/>
  <c r="I49" i="1"/>
  <c r="E47" i="1"/>
  <c r="F47" i="1"/>
  <c r="G47" i="1"/>
  <c r="I47" i="1"/>
  <c r="E55" i="1"/>
  <c r="F55" i="1"/>
  <c r="G55" i="1"/>
  <c r="I55" i="1"/>
  <c r="E52" i="1"/>
  <c r="F52" i="1"/>
  <c r="G52" i="1"/>
  <c r="I52" i="1"/>
  <c r="E50" i="1"/>
  <c r="F50" i="1"/>
  <c r="E44" i="1"/>
  <c r="F44" i="1"/>
  <c r="E42" i="1"/>
  <c r="F42" i="1"/>
  <c r="G42" i="1"/>
  <c r="I42" i="1"/>
  <c r="E59" i="1"/>
  <c r="F59" i="1"/>
  <c r="G59" i="1"/>
  <c r="K59" i="1"/>
  <c r="F35" i="1"/>
  <c r="G35" i="1"/>
  <c r="E33" i="2"/>
  <c r="E42" i="2"/>
  <c r="E15" i="2"/>
  <c r="I22" i="1"/>
  <c r="E12" i="2"/>
  <c r="E23" i="2"/>
  <c r="E17" i="2"/>
  <c r="E35" i="2"/>
  <c r="F43" i="1"/>
  <c r="G43" i="1"/>
  <c r="I43" i="1"/>
  <c r="E41" i="2"/>
  <c r="E31" i="2"/>
  <c r="E47" i="2"/>
  <c r="E44" i="2"/>
  <c r="E19" i="2"/>
  <c r="E37" i="2"/>
  <c r="E40" i="2"/>
  <c r="E22" i="2"/>
  <c r="E14" i="2"/>
  <c r="I35" i="1"/>
  <c r="C12" i="1"/>
  <c r="C11" i="1"/>
  <c r="O59" i="1" l="1"/>
  <c r="O43" i="1"/>
  <c r="O33" i="1"/>
  <c r="O47" i="1"/>
  <c r="O34" i="1"/>
  <c r="O52" i="1"/>
  <c r="O51" i="1"/>
  <c r="O24" i="1"/>
  <c r="O37" i="1"/>
  <c r="O38" i="1"/>
  <c r="O21" i="1"/>
  <c r="O46" i="1"/>
  <c r="O28" i="1"/>
  <c r="O55" i="1"/>
  <c r="O42" i="1"/>
  <c r="O32" i="1"/>
  <c r="O50" i="1"/>
  <c r="O49" i="1"/>
  <c r="O23" i="1"/>
  <c r="O54" i="1"/>
  <c r="O57" i="1"/>
  <c r="O41" i="1"/>
  <c r="O31" i="1"/>
  <c r="O40" i="1"/>
  <c r="O29" i="1"/>
  <c r="O44" i="1"/>
  <c r="O27" i="1"/>
  <c r="O53" i="1"/>
  <c r="O36" i="1"/>
  <c r="O25" i="1"/>
  <c r="O22" i="1"/>
  <c r="O26" i="1"/>
  <c r="O35" i="1"/>
  <c r="O58" i="1"/>
  <c r="O45" i="1"/>
  <c r="O39" i="1"/>
  <c r="O48" i="1"/>
  <c r="O56" i="1"/>
  <c r="O30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<sst xmlns="http://schemas.openxmlformats.org/spreadsheetml/2006/main" count="429" uniqueCount="198">
  <si>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</si>
  <si>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</si>
  <si>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</si>
  <si>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</si>
  <si>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</si>
  <si>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</si>
  <si>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</si>
  <si>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</si>
  <si>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</si>
  <si>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</si>
  <si>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</si>
  <si>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</si>
  <si>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</si>
  <si>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</si>
  <si>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</si>
  <si>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</si>
  <si>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</si>
  <si>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</si>
  <si>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</si>
  <si>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</si>
  <si>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</si>
  <si>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</si>
  <si>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</si>
  <si>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</si>
  <si>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</si>
  <si>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</si>
  <si>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Bull.84</t>
  </si>
  <si>
    <t>B</t>
  </si>
  <si>
    <t>BBSAG Bull.85</t>
  </si>
  <si>
    <t>BBSAG Bull.89</t>
  </si>
  <si>
    <t>BBSAG Bull.92</t>
  </si>
  <si>
    <t>BBSAG Bull.106</t>
  </si>
  <si>
    <t>Paschke A</t>
  </si>
  <si>
    <t>BBSAG Bull.108</t>
  </si>
  <si>
    <t>BBSAG Bull.109</t>
  </si>
  <si>
    <t>IBVS 5484</t>
  </si>
  <si>
    <t># of data points:</t>
  </si>
  <si>
    <t>V418 Aql / gsc 0486-3933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</si>
  <si>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</si>
  <si>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</si>
  <si>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</si>
  <si>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</si>
  <si>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</si>
  <si>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</si>
  <si>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</si>
  <si>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4222</t>
  </si>
  <si>
    <t>OEJV 0172</t>
  </si>
  <si>
    <t>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</si>
  <si>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</si>
  <si>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</si>
  <si>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</si>
  <si>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</si>
  <si>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</si>
  <si>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</si>
  <si>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</si>
  <si>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</si>
  <si>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</si>
  <si>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</si>
  <si>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</si>
  <si>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</si>
  <si>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</si>
  <si>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</si>
  <si>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2425445.518 </t>
  </si>
  <si>
    <t> 18.07.1928 00:25 </t>
  </si>
  <si>
    <t> 0.038 </t>
  </si>
  <si>
    <t>P </t>
  </si>
  <si>
    <t> O.Morgenroth </t>
  </si>
  <si>
    <t> KVBB 19.33 </t>
  </si>
  <si>
    <t>2425492.42 </t>
  </si>
  <si>
    <t> 02.09.1928 22:04 </t>
  </si>
  <si>
    <t> 0.01 </t>
  </si>
  <si>
    <t> H.Gessner </t>
  </si>
  <si>
    <t> VSS 7.84 </t>
  </si>
  <si>
    <t>2425807.43 </t>
  </si>
  <si>
    <t> 14.07.1929 22:19 </t>
  </si>
  <si>
    <t> -0.10 </t>
  </si>
  <si>
    <t>2425834.404 </t>
  </si>
  <si>
    <t> 10.08.1929 21:41 </t>
  </si>
  <si>
    <t> 0.051 </t>
  </si>
  <si>
    <t>2425854.38 </t>
  </si>
  <si>
    <t> 30.08.1929 21:07 </t>
  </si>
  <si>
    <t> -0.09 </t>
  </si>
  <si>
    <t>2425863.349 </t>
  </si>
  <si>
    <t> 08.09.1929 20:22 </t>
  </si>
  <si>
    <t> -0.058 </t>
  </si>
  <si>
    <t>2426149.474 </t>
  </si>
  <si>
    <t> 21.06.1930 23:22 </t>
  </si>
  <si>
    <t> -0.001 </t>
  </si>
  <si>
    <t>2426178.44 </t>
  </si>
  <si>
    <t> 20.07.1930 22:33 </t>
  </si>
  <si>
    <t>2431370.29 </t>
  </si>
  <si>
    <t> 06.10.1944 18:57 </t>
  </si>
  <si>
    <t> 0.08 </t>
  </si>
  <si>
    <t>2436461.34 </t>
  </si>
  <si>
    <t> 14.09.1958 20:09 </t>
  </si>
  <si>
    <t> 0.02 </t>
  </si>
  <si>
    <t>2437556.39 </t>
  </si>
  <si>
    <t> 13.09.1961 21:21 </t>
  </si>
  <si>
    <t> -0.03 </t>
  </si>
  <si>
    <t>2437583.33 </t>
  </si>
  <si>
    <t> 10.10.1961 19:55 </t>
  </si>
  <si>
    <t> 0.09 </t>
  </si>
  <si>
    <t>2437842.49 </t>
  </si>
  <si>
    <t> 26.06.1962 23:45 </t>
  </si>
  <si>
    <t> -0.00 </t>
  </si>
  <si>
    <t>2437851.44 </t>
  </si>
  <si>
    <t> 05.07.1962 22:33 </t>
  </si>
  <si>
    <t>2437871.55 </t>
  </si>
  <si>
    <t> 26.07.1962 01:12 </t>
  </si>
  <si>
    <t> 0.00 </t>
  </si>
  <si>
    <t>2437898.38 </t>
  </si>
  <si>
    <t> 21.08.1962 21:07 </t>
  </si>
  <si>
    <t>2437907.33 </t>
  </si>
  <si>
    <t> 30.08.1962 19:55 </t>
  </si>
  <si>
    <t> 0.03 </t>
  </si>
  <si>
    <t>2437936.33 </t>
  </si>
  <si>
    <t> 28.09.1962 19:55 </t>
  </si>
  <si>
    <t>2438584.524 </t>
  </si>
  <si>
    <t> 08.07.1964 00:34 </t>
  </si>
  <si>
    <t> 0.043 </t>
  </si>
  <si>
    <t> K.Häußler </t>
  </si>
  <si>
    <t>BAVM 236 </t>
  </si>
  <si>
    <t>2438640.373 </t>
  </si>
  <si>
    <t> 01.09.1964 20:57 </t>
  </si>
  <si>
    <t> 0.020 </t>
  </si>
  <si>
    <t>2440030.484 </t>
  </si>
  <si>
    <t> 22.06.1968 23:36 </t>
  </si>
  <si>
    <t>2445492.514 </t>
  </si>
  <si>
    <t> 07.06.1983 00:20 </t>
  </si>
  <si>
    <t> -0.055 </t>
  </si>
  <si>
    <t>2445854.533 </t>
  </si>
  <si>
    <t> 03.06.1984 00:47 </t>
  </si>
  <si>
    <t> -0.090 </t>
  </si>
  <si>
    <t>2446976.458 </t>
  </si>
  <si>
    <t> 29.06.1987 22:59 </t>
  </si>
  <si>
    <t> -0.087 </t>
  </si>
  <si>
    <t>2447005.525 </t>
  </si>
  <si>
    <t> 29.07.1987 00:36 </t>
  </si>
  <si>
    <t> -0.074 </t>
  </si>
  <si>
    <t>V </t>
  </si>
  <si>
    <t> K.Locher </t>
  </si>
  <si>
    <t> BBS 84 </t>
  </si>
  <si>
    <t>2447023.410 </t>
  </si>
  <si>
    <t> 15.08.1987 21:50 </t>
  </si>
  <si>
    <t> -0.068 </t>
  </si>
  <si>
    <t> BBS 85 </t>
  </si>
  <si>
    <t>2447385.462 </t>
  </si>
  <si>
    <t> 11.08.1988 23:05 </t>
  </si>
  <si>
    <t> -0.071 </t>
  </si>
  <si>
    <t> BBS 89 </t>
  </si>
  <si>
    <t>2447747.520 </t>
  </si>
  <si>
    <t> 09.08.1989 00:28 </t>
  </si>
  <si>
    <t> -0.067 </t>
  </si>
  <si>
    <t> BBS 92 </t>
  </si>
  <si>
    <t>2448098.458 </t>
  </si>
  <si>
    <t> 25.07.1990 22:59 </t>
  </si>
  <si>
    <t> -0.009 </t>
  </si>
  <si>
    <t>2448887.38 </t>
  </si>
  <si>
    <t> 21.09.1992 21:07 </t>
  </si>
  <si>
    <t> -0.01 </t>
  </si>
  <si>
    <t>2449479.577 </t>
  </si>
  <si>
    <t> 07.05.1994 01:50 </t>
  </si>
  <si>
    <t> -0.061 </t>
  </si>
  <si>
    <t> BBS 106 </t>
  </si>
  <si>
    <t>2449535.454 </t>
  </si>
  <si>
    <t> 01.07.1994 22:53 </t>
  </si>
  <si>
    <t> -0.056 </t>
  </si>
  <si>
    <t>E </t>
  </si>
  <si>
    <t>?</t>
  </si>
  <si>
    <t> A.Paschke </t>
  </si>
  <si>
    <t> BBS 108 </t>
  </si>
  <si>
    <t>2449888.546 </t>
  </si>
  <si>
    <t> 20.06.1995 01:06 </t>
  </si>
  <si>
    <t> -0.079 </t>
  </si>
  <si>
    <t> BBS 109 </t>
  </si>
  <si>
    <t>2451781.510 </t>
  </si>
  <si>
    <t> 25.08.2000 00:14 </t>
  </si>
  <si>
    <t> BBS 123 </t>
  </si>
  <si>
    <t>2452503.4095 </t>
  </si>
  <si>
    <t> 16.08.2002 21:49 </t>
  </si>
  <si>
    <t> -0.0532 </t>
  </si>
  <si>
    <t>o</t>
  </si>
  <si>
    <t> F.Agerer </t>
  </si>
  <si>
    <t>BAVM 158 </t>
  </si>
  <si>
    <t>2455795.4758 </t>
  </si>
  <si>
    <t> 21.08.2011 23:25 </t>
  </si>
  <si>
    <t> -0.0005 </t>
  </si>
  <si>
    <t>C </t>
  </si>
  <si>
    <t>-I</t>
  </si>
  <si>
    <t>BAVM 225 </t>
  </si>
  <si>
    <t>2456926.384 </t>
  </si>
  <si>
    <t> 25.09.2014 21:12 </t>
  </si>
  <si>
    <t>14086</t>
  </si>
  <si>
    <t> 0.046 </t>
  </si>
  <si>
    <t>OEJV 0172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</si>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</sst>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176" fontId="18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V418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6-4B8D-B406-9DAD0414B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3.8000000000465661E-2</c:v>
                </c:pt>
                <c:pt idx="2">
                  <c:v>7.0159999995667022E-3</c:v>
                </c:pt>
                <c:pt idx="3">
                  <c:v>-0.10444799999822862</c:v>
                </c:pt>
                <c:pt idx="4">
                  <c:v>5.0703999997494975E-2</c:v>
                </c:pt>
                <c:pt idx="5">
                  <c:v>-8.7432000000262633E-2</c:v>
                </c:pt>
                <c:pt idx="6">
                  <c:v>-5.804800000260002E-2</c:v>
                </c:pt>
                <c:pt idx="7">
                  <c:v>-7.6000000262865797E-4</c:v>
                </c:pt>
                <c:pt idx="8">
                  <c:v>-8.8512000002083369E-2</c:v>
                </c:pt>
                <c:pt idx="9">
                  <c:v>7.9496000002109213E-2</c:v>
                </c:pt>
                <c:pt idx="10">
                  <c:v>1.8184000000474043E-2</c:v>
                </c:pt>
                <c:pt idx="11">
                  <c:v>-3.4776000000420026E-2</c:v>
                </c:pt>
                <c:pt idx="12">
                  <c:v>8.6376000006566755E-2</c:v>
                </c:pt>
                <c:pt idx="13">
                  <c:v>-2.4879999982658774E-3</c:v>
                </c:pt>
                <c:pt idx="14">
                  <c:v>7.896000002801884E-3</c:v>
                </c:pt>
                <c:pt idx="15">
                  <c:v>3.7600000068778172E-3</c:v>
                </c:pt>
                <c:pt idx="16">
                  <c:v>1.4911999998730607E-2</c:v>
                </c:pt>
                <c:pt idx="17">
                  <c:v>2.5296000007074326E-2</c:v>
                </c:pt>
                <c:pt idx="18">
                  <c:v>-2.8456000000005588E-2</c:v>
                </c:pt>
                <c:pt idx="19">
                  <c:v>4.338399999687681E-2</c:v>
                </c:pt>
                <c:pt idx="20">
                  <c:v>1.9784000003710389E-2</c:v>
                </c:pt>
                <c:pt idx="21">
                  <c:v>2.0495999997365288E-2</c:v>
                </c:pt>
                <c:pt idx="22">
                  <c:v>-5.4879999996046536E-2</c:v>
                </c:pt>
                <c:pt idx="23">
                  <c:v>-9.0327999998407904E-2</c:v>
                </c:pt>
                <c:pt idx="24">
                  <c:v>-8.7136000001919456E-2</c:v>
                </c:pt>
                <c:pt idx="25">
                  <c:v>-7.3887999991711695E-2</c:v>
                </c:pt>
                <c:pt idx="26">
                  <c:v>-6.8119999996270053E-2</c:v>
                </c:pt>
                <c:pt idx="27">
                  <c:v>-7.0567999995546415E-2</c:v>
                </c:pt>
                <c:pt idx="28">
                  <c:v>-6.7016000000876375E-2</c:v>
                </c:pt>
                <c:pt idx="29">
                  <c:v>-8.944000001065433E-3</c:v>
                </c:pt>
                <c:pt idx="30">
                  <c:v>-8.055999998759944E-3</c:v>
                </c:pt>
                <c:pt idx="31">
                  <c:v>-6.0615999995206948E-2</c:v>
                </c:pt>
                <c:pt idx="32">
                  <c:v>-5.6215999997220933E-2</c:v>
                </c:pt>
                <c:pt idx="34">
                  <c:v>-7.9047999999602325E-2</c:v>
                </c:pt>
                <c:pt idx="35">
                  <c:v>-7.8735999995842576E-2</c:v>
                </c:pt>
                <c:pt idx="37">
                  <c:v>-5.2000000141561031E-4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6-4B8D-B406-9DAD0414B9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3">
                  <c:v>-0.18643599999631988</c:v>
                </c:pt>
                <c:pt idx="36">
                  <c:v>-5.3227999997034203E-2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46-4B8D-B406-9DAD0414B9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4.6256000001449138E-2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46-4B8D-B406-9DAD0414B9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46-4B8D-B406-9DAD0414B9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46-4B8D-B406-9DAD0414B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5.0000000000000001E-3</c:v>
                  </c:pt>
                  <c:pt idx="33">
                    <c:v>5.0000000000000001E-4</c:v>
                  </c:pt>
                  <c:pt idx="34">
                    <c:v>3.0000000000000001E-3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46-4B8D-B406-9DAD0414B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162</c:v>
                </c:pt>
                <c:pt idx="4">
                  <c:v>174</c:v>
                </c:pt>
                <c:pt idx="5">
                  <c:v>183</c:v>
                </c:pt>
                <c:pt idx="6">
                  <c:v>187</c:v>
                </c:pt>
                <c:pt idx="7">
                  <c:v>315</c:v>
                </c:pt>
                <c:pt idx="8">
                  <c:v>328</c:v>
                </c:pt>
                <c:pt idx="9">
                  <c:v>2651</c:v>
                </c:pt>
                <c:pt idx="10">
                  <c:v>4929</c:v>
                </c:pt>
                <c:pt idx="11">
                  <c:v>5419</c:v>
                </c:pt>
                <c:pt idx="12">
                  <c:v>5431</c:v>
                </c:pt>
                <c:pt idx="13">
                  <c:v>5547</c:v>
                </c:pt>
                <c:pt idx="14">
                  <c:v>5551</c:v>
                </c:pt>
                <c:pt idx="15">
                  <c:v>5560</c:v>
                </c:pt>
                <c:pt idx="16">
                  <c:v>5572</c:v>
                </c:pt>
                <c:pt idx="17">
                  <c:v>5576</c:v>
                </c:pt>
                <c:pt idx="18">
                  <c:v>5589</c:v>
                </c:pt>
                <c:pt idx="19">
                  <c:v>5879</c:v>
                </c:pt>
                <c:pt idx="20">
                  <c:v>5904</c:v>
                </c:pt>
                <c:pt idx="21">
                  <c:v>6526</c:v>
                </c:pt>
                <c:pt idx="22">
                  <c:v>8970</c:v>
                </c:pt>
                <c:pt idx="23">
                  <c:v>9132</c:v>
                </c:pt>
                <c:pt idx="24">
                  <c:v>9634</c:v>
                </c:pt>
                <c:pt idx="25">
                  <c:v>9647</c:v>
                </c:pt>
                <c:pt idx="26">
                  <c:v>9655</c:v>
                </c:pt>
                <c:pt idx="27">
                  <c:v>9817</c:v>
                </c:pt>
                <c:pt idx="28">
                  <c:v>9979</c:v>
                </c:pt>
                <c:pt idx="29">
                  <c:v>10136</c:v>
                </c:pt>
                <c:pt idx="30">
                  <c:v>10489</c:v>
                </c:pt>
                <c:pt idx="31">
                  <c:v>10754</c:v>
                </c:pt>
                <c:pt idx="32">
                  <c:v>10779</c:v>
                </c:pt>
                <c:pt idx="33">
                  <c:v>10784</c:v>
                </c:pt>
                <c:pt idx="34">
                  <c:v>10937</c:v>
                </c:pt>
                <c:pt idx="35">
                  <c:v>11784</c:v>
                </c:pt>
                <c:pt idx="36">
                  <c:v>12107</c:v>
                </c:pt>
                <c:pt idx="37">
                  <c:v>13580</c:v>
                </c:pt>
                <c:pt idx="38">
                  <c:v>14086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-2.5126186564791674E-3</c:v>
                </c:pt>
                <c:pt idx="1">
                  <c:v>-2.5126186564791674E-3</c:v>
                </c:pt>
                <c:pt idx="2">
                  <c:v>-2.5864006290650088E-3</c:v>
                </c:pt>
                <c:pt idx="3">
                  <c:v>-3.0817938735699449E-3</c:v>
                </c:pt>
                <c:pt idx="4">
                  <c:v>-3.1239550007618544E-3</c:v>
                </c:pt>
                <c:pt idx="5">
                  <c:v>-3.1555758461557868E-3</c:v>
                </c:pt>
                <c:pt idx="6">
                  <c:v>-3.1696295552197567E-3</c:v>
                </c:pt>
                <c:pt idx="7">
                  <c:v>-3.6193482452667909E-3</c:v>
                </c:pt>
                <c:pt idx="8">
                  <c:v>-3.6650227997246923E-3</c:v>
                </c:pt>
                <c:pt idx="9">
                  <c:v>-1.1826714338625165E-2</c:v>
                </c:pt>
                <c:pt idx="10">
                  <c:v>-1.9830301650555975E-2</c:v>
                </c:pt>
                <c:pt idx="11">
                  <c:v>-2.1551881010892279E-2</c:v>
                </c:pt>
                <c:pt idx="12">
                  <c:v>-2.1594042138084191E-2</c:v>
                </c:pt>
                <c:pt idx="13">
                  <c:v>-2.2001599700939314E-2</c:v>
                </c:pt>
                <c:pt idx="14">
                  <c:v>-2.2015653410003284E-2</c:v>
                </c:pt>
                <c:pt idx="15">
                  <c:v>-2.2047274255397216E-2</c:v>
                </c:pt>
                <c:pt idx="16">
                  <c:v>-2.2089435382589125E-2</c:v>
                </c:pt>
                <c:pt idx="17">
                  <c:v>-2.2103489091653095E-2</c:v>
                </c:pt>
                <c:pt idx="18">
                  <c:v>-2.2149163646110998E-2</c:v>
                </c:pt>
                <c:pt idx="19">
                  <c:v>-2.316805755324881E-2</c:v>
                </c:pt>
                <c:pt idx="20">
                  <c:v>-2.3255893234898621E-2</c:v>
                </c:pt>
                <c:pt idx="21">
                  <c:v>-2.5441244994345927E-2</c:v>
                </c:pt>
                <c:pt idx="22">
                  <c:v>-3.4028061232431489E-2</c:v>
                </c:pt>
                <c:pt idx="23">
                  <c:v>-3.459723644952227E-2</c:v>
                </c:pt>
                <c:pt idx="24">
                  <c:v>-3.6360976937050482E-2</c:v>
                </c:pt>
                <c:pt idx="25">
                  <c:v>-3.6406651491508374E-2</c:v>
                </c:pt>
                <c:pt idx="26">
                  <c:v>-3.6434758909636322E-2</c:v>
                </c:pt>
                <c:pt idx="27">
                  <c:v>-3.7003934126727089E-2</c:v>
                </c:pt>
                <c:pt idx="28">
                  <c:v>-3.757310934381787E-2</c:v>
                </c:pt>
                <c:pt idx="29">
                  <c:v>-3.8124717424578694E-2</c:v>
                </c:pt>
                <c:pt idx="30">
                  <c:v>-3.9364957249474031E-2</c:v>
                </c:pt>
                <c:pt idx="31">
                  <c:v>-4.0296015474962033E-2</c:v>
                </c:pt>
                <c:pt idx="32">
                  <c:v>-4.0383851156611833E-2</c:v>
                </c:pt>
                <c:pt idx="33">
                  <c:v>-4.0401418292941804E-2</c:v>
                </c:pt>
                <c:pt idx="34">
                  <c:v>-4.093897266463864E-2</c:v>
                </c:pt>
                <c:pt idx="35">
                  <c:v>-4.3914845558934254E-2</c:v>
                </c:pt>
                <c:pt idx="36">
                  <c:v>-4.5049682565849819E-2</c:v>
                </c:pt>
                <c:pt idx="37">
                  <c:v>-5.0224960928656706E-2</c:v>
                </c:pt>
                <c:pt idx="38">
                  <c:v>-5.2002755125248878E-2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46-4B8D-B406-9DAD0414B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70208"/>
        <c:axId val="1"/>
      </c:scatterChart>
      <c:valAx>
        <c:axId val="68967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67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19</xdr:col>
      <xdr:colOff>571500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76A952-8521-3000-385F-BDCA8EC9C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6" TargetMode="External"/><Relationship Id="rId3" Type="http://schemas.openxmlformats.org/officeDocument/2006/relationships/hyperlink" Target="http://www.bav-astro.de/sfs/BAVM_link.php?BAVMnr=236" TargetMode="External"/><Relationship Id="rId7" Type="http://schemas.openxmlformats.org/officeDocument/2006/relationships/hyperlink" Target="http://www.bav-astro.de/sfs/BAVM_link.php?BAVMnr=236" TargetMode="External"/><Relationship Id="rId12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bav-astro.de/sfs/BAVM_link.php?BAVMnr=23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6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36" TargetMode="External"/><Relationship Id="rId10" Type="http://schemas.openxmlformats.org/officeDocument/2006/relationships/hyperlink" Target="http://www.bav-astro.de/sfs/BAVM_link.php?BAVMnr=158" TargetMode="External"/><Relationship Id="rId4" Type="http://schemas.openxmlformats.org/officeDocument/2006/relationships/hyperlink" Target="http://www.bav-astro.de/sfs/BAVM_link.php?BAVMnr=236" TargetMode="External"/><Relationship Id="rId9" Type="http://schemas.openxmlformats.org/officeDocument/2006/relationships/hyperlink" Target="http://www.bav-astro.de/sfs/BAVM_link.php?BAVMnr=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9" t="s">
        <v>38</v>
      </c>
    </row>
    <row r="4" spans="1:6" ht="14.25" thickTop="1" thickBot="1" x14ac:dyDescent="0.25">
      <c r="A4" s="6" t="s">
        <v>0</v>
      </c>
      <c r="C4" s="2">
        <v>25445.48</v>
      </c>
      <c r="D4" s="3">
        <v>2.2349039999999998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25445.48</v>
      </c>
    </row>
    <row r="8" spans="1:6" x14ac:dyDescent="0.2">
      <c r="A8" t="s">
        <v>3</v>
      </c>
      <c r="C8">
        <f>+D4</f>
        <v>2.2349039999999998</v>
      </c>
    </row>
    <row r="9" spans="1:6" x14ac:dyDescent="0.2">
      <c r="A9" s="25" t="s">
        <v>44</v>
      </c>
      <c r="B9" s="26">
        <v>22</v>
      </c>
      <c r="C9" s="14" t="str">
        <f>"F"&amp;B9</f>
        <v>F22</v>
      </c>
      <c r="D9" s="15" t="str">
        <f>"G"&amp;B9</f>
        <v>G22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3">
        <f ca="1">INTERCEPT(INDIRECT($D$9):G992,INDIRECT($C$9):F992)</f>
        <v>-2.5126186564791674E-3</v>
      </c>
      <c r="D11" s="4"/>
      <c r="E11" s="11"/>
    </row>
    <row r="12" spans="1:6" x14ac:dyDescent="0.2">
      <c r="A12" s="11" t="s">
        <v>17</v>
      </c>
      <c r="B12" s="11"/>
      <c r="C12" s="13">
        <f ca="1">SLOPE(INDIRECT($D$9):G992,INDIRECT($C$9):F992)</f>
        <v>-3.5134272659924548E-6</v>
      </c>
      <c r="D12" s="4"/>
      <c r="E12" s="11"/>
    </row>
    <row r="13" spans="1:6" x14ac:dyDescent="0.2">
      <c r="A13" s="11" t="s">
        <v>19</v>
      </c>
      <c r="B13" s="11"/>
      <c r="C13" s="4" t="s">
        <v>14</v>
      </c>
      <c r="D13" s="4"/>
      <c r="E13" s="11"/>
    </row>
    <row r="14" spans="1:6" x14ac:dyDescent="0.2">
      <c r="A14" s="11"/>
      <c r="B14" s="11"/>
      <c r="C14" s="11"/>
      <c r="D14" s="11"/>
      <c r="E14" s="11"/>
    </row>
    <row r="15" spans="1:6" x14ac:dyDescent="0.2">
      <c r="A15" s="16" t="s">
        <v>18</v>
      </c>
      <c r="B15" s="11"/>
      <c r="C15" s="17">
        <f ca="1">(C7+C11)+(C8+C12)*INT(MAX(F21:F3533))</f>
        <v>56926.285741244872</v>
      </c>
      <c r="D15" s="18"/>
      <c r="E15" s="18" t="s">
        <v>48</v>
      </c>
      <c r="F15" s="12">
        <v>1</v>
      </c>
    </row>
    <row r="16" spans="1:6" x14ac:dyDescent="0.2">
      <c r="A16" s="20" t="s">
        <v>4</v>
      </c>
      <c r="B16" s="11"/>
      <c r="C16" s="21">
        <f ca="1">+C8+C12</f>
        <v>2.2349004865727338</v>
      </c>
      <c r="D16" s="18"/>
      <c r="E16" s="18" t="s">
        <v>41</v>
      </c>
      <c r="F16" s="19">
        <f ca="1">NOW()+15018.5+$C$5/24</f>
        <v>60320.68696284722</v>
      </c>
    </row>
    <row r="17" spans="1:31" ht="13.5" thickBot="1" x14ac:dyDescent="0.25">
      <c r="A17" s="18" t="s">
        <v>36</v>
      </c>
      <c r="B17" s="11"/>
      <c r="C17" s="11">
        <f>COUNT(C21:C2191)</f>
        <v>39</v>
      </c>
      <c r="D17" s="18"/>
      <c r="E17" s="18" t="s">
        <v>49</v>
      </c>
      <c r="F17" s="19">
        <f ca="1">ROUND(2*(F16-$C$7)/$C$8,0)/2+F15</f>
        <v>15606</v>
      </c>
    </row>
    <row r="18" spans="1:31" ht="14.25" thickTop="1" thickBot="1" x14ac:dyDescent="0.25">
      <c r="A18" s="20" t="s">
        <v>5</v>
      </c>
      <c r="B18" s="11"/>
      <c r="C18" s="23">
        <f ca="1">+C15</f>
        <v>56926.285741244872</v>
      </c>
      <c r="D18" s="24">
        <f ca="1">+C16</f>
        <v>2.2349004865727338</v>
      </c>
      <c r="E18" s="18" t="s">
        <v>42</v>
      </c>
      <c r="F18" s="15">
        <f ca="1">ROUND(2*(F16-$C$15)/$C$16,0)/2+F15</f>
        <v>1520</v>
      </c>
    </row>
    <row r="19" spans="1:31" ht="13.5" thickTop="1" x14ac:dyDescent="0.2">
      <c r="E19" s="18" t="s">
        <v>43</v>
      </c>
      <c r="F19" s="22">
        <f ca="1">+$C$15+$C$16*F18-15018.5-$C$5/24</f>
        <v>45305.230314168766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195</v>
      </c>
      <c r="M20" s="8" t="s">
        <v>196</v>
      </c>
      <c r="N20" s="8" t="s">
        <v>197</v>
      </c>
      <c r="O20" s="8" t="s">
        <v>23</v>
      </c>
      <c r="P20" s="7" t="s">
        <v>22</v>
      </c>
      <c r="Q20" s="5" t="s">
        <v>15</v>
      </c>
    </row>
    <row r="21" spans="1:31" x14ac:dyDescent="0.2">
      <c r="A21" s="27" t="s">
        <v>12</v>
      </c>
      <c r="B21" s="27"/>
      <c r="C21" s="30">
        <v>25445.48</v>
      </c>
      <c r="D21" s="30" t="s">
        <v>14</v>
      </c>
      <c r="E21" s="27">
        <f t="shared" ref="E21:E59" si="0">+(C21-C$7)/C$8</f>
        <v>0</v>
      </c>
      <c r="F21" s="27">
        <f t="shared" ref="F21:F59" si="1">ROUND(2*E21,0)/2</f>
        <v>0</v>
      </c>
      <c r="G21" s="27">
        <f t="shared" ref="G21:G59" si="2">+C21-(C$7+F21*C$8)</f>
        <v>0</v>
      </c>
      <c r="H21" s="27">
        <f>+G21</f>
        <v>0</v>
      </c>
      <c r="I21" s="27"/>
      <c r="J21" s="27"/>
      <c r="K21" s="27"/>
      <c r="L21" s="27"/>
      <c r="M21" s="27"/>
      <c r="N21" s="27"/>
      <c r="O21" s="27">
        <f t="shared" ref="O21:O59" ca="1" si="3">+C$11+C$12*F21</f>
        <v>-2.5126186564791674E-3</v>
      </c>
      <c r="P21" s="27"/>
      <c r="Q21" s="28">
        <f t="shared" ref="Q21:Q59" si="4">+C21-15018.5</f>
        <v>10426.98</v>
      </c>
      <c r="R21" s="27"/>
      <c r="S21" s="27"/>
    </row>
    <row r="22" spans="1:31" x14ac:dyDescent="0.2">
      <c r="A22" s="51" t="s">
        <v>67</v>
      </c>
      <c r="B22" s="29" t="s">
        <v>47</v>
      </c>
      <c r="C22" s="30">
        <v>25445.518</v>
      </c>
      <c r="D22" s="30" t="s">
        <v>60</v>
      </c>
      <c r="E22" s="27">
        <f t="shared" si="0"/>
        <v>1.7002967465477564E-2</v>
      </c>
      <c r="F22" s="27">
        <f t="shared" si="1"/>
        <v>0</v>
      </c>
      <c r="G22" s="27">
        <f t="shared" si="2"/>
        <v>3.8000000000465661E-2</v>
      </c>
      <c r="H22" s="27"/>
      <c r="I22" s="27">
        <f t="shared" ref="I22:I53" si="5">G22</f>
        <v>3.8000000000465661E-2</v>
      </c>
      <c r="K22" s="27"/>
      <c r="L22" s="27"/>
      <c r="M22" s="27"/>
      <c r="N22" s="27"/>
      <c r="O22" s="27">
        <f t="shared" ca="1" si="3"/>
        <v>-2.5126186564791674E-3</v>
      </c>
      <c r="P22" s="27"/>
      <c r="Q22" s="28">
        <f t="shared" si="4"/>
        <v>10427.018</v>
      </c>
      <c r="R22" s="27"/>
      <c r="S22" s="27"/>
      <c r="AA22">
        <v>10</v>
      </c>
      <c r="AC22" t="s">
        <v>25</v>
      </c>
      <c r="AE22" t="s">
        <v>27</v>
      </c>
    </row>
    <row r="23" spans="1:31" x14ac:dyDescent="0.2">
      <c r="A23" s="51" t="s">
        <v>72</v>
      </c>
      <c r="B23" s="29" t="s">
        <v>47</v>
      </c>
      <c r="C23" s="30">
        <v>25492.42</v>
      </c>
      <c r="D23" s="30" t="s">
        <v>60</v>
      </c>
      <c r="E23" s="27">
        <f t="shared" si="0"/>
        <v>21.003139284729318</v>
      </c>
      <c r="F23" s="27">
        <f t="shared" si="1"/>
        <v>21</v>
      </c>
      <c r="G23" s="27">
        <f t="shared" si="2"/>
        <v>7.0159999995667022E-3</v>
      </c>
      <c r="H23" s="27"/>
      <c r="I23" s="27">
        <f t="shared" si="5"/>
        <v>7.0159999995667022E-3</v>
      </c>
      <c r="K23" s="27"/>
      <c r="L23" s="27"/>
      <c r="M23" s="27"/>
      <c r="N23" s="27"/>
      <c r="O23" s="27">
        <f t="shared" ca="1" si="3"/>
        <v>-2.5864006290650088E-3</v>
      </c>
      <c r="P23" s="27"/>
      <c r="Q23" s="28">
        <f t="shared" si="4"/>
        <v>10473.919999999998</v>
      </c>
      <c r="R23" s="27"/>
      <c r="S23" s="27"/>
      <c r="AA23">
        <v>6</v>
      </c>
      <c r="AC23" t="s">
        <v>25</v>
      </c>
      <c r="AE23" t="s">
        <v>27</v>
      </c>
    </row>
    <row r="24" spans="1:31" x14ac:dyDescent="0.2">
      <c r="A24" s="51" t="s">
        <v>72</v>
      </c>
      <c r="B24" s="29" t="s">
        <v>47</v>
      </c>
      <c r="C24" s="30">
        <v>25807.43</v>
      </c>
      <c r="D24" s="30" t="s">
        <v>60</v>
      </c>
      <c r="E24" s="27">
        <f t="shared" si="0"/>
        <v>161.95326510668949</v>
      </c>
      <c r="F24" s="27">
        <f t="shared" si="1"/>
        <v>162</v>
      </c>
      <c r="G24" s="27">
        <f t="shared" si="2"/>
        <v>-0.10444799999822862</v>
      </c>
      <c r="H24" s="27"/>
      <c r="I24" s="27">
        <f t="shared" si="5"/>
        <v>-0.10444799999822862</v>
      </c>
      <c r="K24" s="27"/>
      <c r="L24" s="27"/>
      <c r="M24" s="27"/>
      <c r="N24" s="27"/>
      <c r="O24" s="27">
        <f t="shared" ca="1" si="3"/>
        <v>-3.0817938735699449E-3</v>
      </c>
      <c r="P24" s="27"/>
      <c r="Q24" s="28">
        <f t="shared" si="4"/>
        <v>10788.93</v>
      </c>
      <c r="R24" s="27"/>
      <c r="S24" s="27"/>
      <c r="AA24">
        <v>35</v>
      </c>
      <c r="AC24" t="s">
        <v>32</v>
      </c>
      <c r="AE24" t="s">
        <v>27</v>
      </c>
    </row>
    <row r="25" spans="1:31" x14ac:dyDescent="0.2">
      <c r="A25" s="51" t="s">
        <v>67</v>
      </c>
      <c r="B25" s="29" t="s">
        <v>47</v>
      </c>
      <c r="C25" s="30">
        <v>25834.403999999999</v>
      </c>
      <c r="D25" s="30" t="s">
        <v>60</v>
      </c>
      <c r="E25" s="27">
        <f t="shared" si="0"/>
        <v>174.02268732795642</v>
      </c>
      <c r="F25" s="27">
        <f t="shared" si="1"/>
        <v>174</v>
      </c>
      <c r="G25" s="27">
        <f t="shared" si="2"/>
        <v>5.0703999997494975E-2</v>
      </c>
      <c r="H25" s="27"/>
      <c r="I25" s="27">
        <f t="shared" si="5"/>
        <v>5.0703999997494975E-2</v>
      </c>
      <c r="K25" s="27"/>
      <c r="L25" s="27"/>
      <c r="M25" s="27"/>
      <c r="N25" s="27"/>
      <c r="O25" s="27">
        <f t="shared" ca="1" si="3"/>
        <v>-3.1239550007618544E-3</v>
      </c>
      <c r="P25" s="27"/>
      <c r="Q25" s="28">
        <f t="shared" si="4"/>
        <v>10815.903999999999</v>
      </c>
      <c r="R25" s="27"/>
      <c r="S25" s="27"/>
      <c r="AA25">
        <v>6</v>
      </c>
      <c r="AC25" t="s">
        <v>25</v>
      </c>
      <c r="AE25" t="s">
        <v>27</v>
      </c>
    </row>
    <row r="26" spans="1:31" x14ac:dyDescent="0.2">
      <c r="A26" s="51" t="s">
        <v>72</v>
      </c>
      <c r="B26" s="29" t="s">
        <v>47</v>
      </c>
      <c r="C26" s="30">
        <v>25854.38</v>
      </c>
      <c r="D26" s="30" t="s">
        <v>60</v>
      </c>
      <c r="E26" s="27">
        <f t="shared" si="0"/>
        <v>182.96087885654217</v>
      </c>
      <c r="F26" s="27">
        <f t="shared" si="1"/>
        <v>183</v>
      </c>
      <c r="G26" s="27">
        <f t="shared" si="2"/>
        <v>-8.7432000000262633E-2</v>
      </c>
      <c r="H26" s="27"/>
      <c r="I26" s="27">
        <f t="shared" si="5"/>
        <v>-8.7432000000262633E-2</v>
      </c>
      <c r="K26" s="27"/>
      <c r="L26" s="27"/>
      <c r="M26" s="27"/>
      <c r="N26" s="27"/>
      <c r="O26" s="27">
        <f t="shared" ca="1" si="3"/>
        <v>-3.1555758461557868E-3</v>
      </c>
      <c r="P26" s="27"/>
      <c r="Q26" s="28">
        <f t="shared" si="4"/>
        <v>10835.880000000001</v>
      </c>
      <c r="R26" s="27"/>
      <c r="S26" s="27"/>
    </row>
    <row r="27" spans="1:31" x14ac:dyDescent="0.2">
      <c r="A27" s="51" t="s">
        <v>67</v>
      </c>
      <c r="B27" s="29" t="s">
        <v>47</v>
      </c>
      <c r="C27" s="30">
        <v>25863.348999999998</v>
      </c>
      <c r="D27" s="30" t="s">
        <v>60</v>
      </c>
      <c r="E27" s="27">
        <f t="shared" si="0"/>
        <v>186.97402662485675</v>
      </c>
      <c r="F27" s="27">
        <f t="shared" si="1"/>
        <v>187</v>
      </c>
      <c r="G27" s="27">
        <f t="shared" si="2"/>
        <v>-5.804800000260002E-2</v>
      </c>
      <c r="H27" s="27"/>
      <c r="I27" s="27">
        <f t="shared" si="5"/>
        <v>-5.804800000260002E-2</v>
      </c>
      <c r="K27" s="27"/>
      <c r="L27" s="27"/>
      <c r="M27" s="27"/>
      <c r="N27" s="27"/>
      <c r="O27" s="27">
        <f t="shared" ca="1" si="3"/>
        <v>-3.1696295552197567E-3</v>
      </c>
      <c r="P27" s="27"/>
      <c r="Q27" s="28">
        <f t="shared" si="4"/>
        <v>10844.848999999998</v>
      </c>
      <c r="R27" s="27"/>
      <c r="S27" s="27"/>
      <c r="AA27">
        <v>9</v>
      </c>
      <c r="AC27" t="s">
        <v>25</v>
      </c>
      <c r="AE27" t="s">
        <v>27</v>
      </c>
    </row>
    <row r="28" spans="1:31" x14ac:dyDescent="0.2">
      <c r="A28" s="51" t="s">
        <v>67</v>
      </c>
      <c r="B28" s="29" t="s">
        <v>47</v>
      </c>
      <c r="C28" s="30">
        <v>26149.473999999998</v>
      </c>
      <c r="D28" s="30" t="s">
        <v>60</v>
      </c>
      <c r="E28" s="27">
        <f t="shared" si="0"/>
        <v>314.99965994065019</v>
      </c>
      <c r="F28" s="27">
        <f t="shared" si="1"/>
        <v>315</v>
      </c>
      <c r="G28" s="27">
        <f t="shared" si="2"/>
        <v>-7.6000000262865797E-4</v>
      </c>
      <c r="H28" s="27"/>
      <c r="I28" s="27">
        <f t="shared" si="5"/>
        <v>-7.6000000262865797E-4</v>
      </c>
      <c r="K28" s="27"/>
      <c r="L28" s="27"/>
      <c r="M28" s="27"/>
      <c r="N28" s="27"/>
      <c r="O28" s="27">
        <f t="shared" ca="1" si="3"/>
        <v>-3.6193482452667909E-3</v>
      </c>
      <c r="P28" s="27"/>
      <c r="Q28" s="28">
        <f t="shared" si="4"/>
        <v>11130.973999999998</v>
      </c>
      <c r="R28" s="27"/>
      <c r="S28" s="27"/>
      <c r="AA28">
        <v>12</v>
      </c>
      <c r="AC28" t="s">
        <v>25</v>
      </c>
      <c r="AE28" t="s">
        <v>27</v>
      </c>
    </row>
    <row r="29" spans="1:31" x14ac:dyDescent="0.2">
      <c r="A29" s="51" t="s">
        <v>72</v>
      </c>
      <c r="B29" s="4" t="s">
        <v>47</v>
      </c>
      <c r="C29" s="38">
        <v>26178.44</v>
      </c>
      <c r="D29" s="38" t="s">
        <v>60</v>
      </c>
      <c r="E29" s="27">
        <f t="shared" si="0"/>
        <v>327.96039561430791</v>
      </c>
      <c r="F29" s="27">
        <f t="shared" si="1"/>
        <v>328</v>
      </c>
      <c r="G29" s="27">
        <f t="shared" si="2"/>
        <v>-8.8512000002083369E-2</v>
      </c>
      <c r="H29" s="27"/>
      <c r="I29" s="27">
        <f t="shared" si="5"/>
        <v>-8.8512000002083369E-2</v>
      </c>
      <c r="K29" s="27"/>
      <c r="L29" s="27"/>
      <c r="M29" s="27"/>
      <c r="N29" s="27"/>
      <c r="O29" s="27">
        <f t="shared" ca="1" si="3"/>
        <v>-3.6650227997246923E-3</v>
      </c>
      <c r="P29" s="27"/>
      <c r="Q29" s="28">
        <f t="shared" si="4"/>
        <v>11159.939999999999</v>
      </c>
      <c r="AA29">
        <v>6</v>
      </c>
      <c r="AC29" t="s">
        <v>25</v>
      </c>
      <c r="AE29" t="s">
        <v>27</v>
      </c>
    </row>
    <row r="30" spans="1:31" x14ac:dyDescent="0.2">
      <c r="A30" s="51" t="s">
        <v>72</v>
      </c>
      <c r="B30" s="4" t="s">
        <v>47</v>
      </c>
      <c r="C30" s="38">
        <v>31370.29</v>
      </c>
      <c r="D30" s="38" t="s">
        <v>60</v>
      </c>
      <c r="E30" s="27">
        <f t="shared" si="0"/>
        <v>2651.0355702079382</v>
      </c>
      <c r="F30" s="27">
        <f t="shared" si="1"/>
        <v>2651</v>
      </c>
      <c r="G30" s="27">
        <f t="shared" si="2"/>
        <v>7.9496000002109213E-2</v>
      </c>
      <c r="H30" s="27"/>
      <c r="I30" s="27">
        <f t="shared" si="5"/>
        <v>7.9496000002109213E-2</v>
      </c>
      <c r="K30" s="27"/>
      <c r="L30" s="27"/>
      <c r="M30" s="27"/>
      <c r="N30" s="27"/>
      <c r="O30" s="27">
        <f t="shared" ca="1" si="3"/>
        <v>-1.1826714338625165E-2</v>
      </c>
      <c r="P30" s="27"/>
      <c r="Q30" s="28">
        <f t="shared" si="4"/>
        <v>16351.79</v>
      </c>
    </row>
    <row r="31" spans="1:31" x14ac:dyDescent="0.2">
      <c r="A31" s="51" t="s">
        <v>72</v>
      </c>
      <c r="B31" s="4" t="s">
        <v>47</v>
      </c>
      <c r="C31" s="38">
        <v>36461.339999999997</v>
      </c>
      <c r="D31" s="38" t="s">
        <v>60</v>
      </c>
      <c r="E31" s="27">
        <f t="shared" si="0"/>
        <v>4929.008136367378</v>
      </c>
      <c r="F31" s="27">
        <f t="shared" si="1"/>
        <v>4929</v>
      </c>
      <c r="G31" s="27">
        <f t="shared" si="2"/>
        <v>1.8184000000474043E-2</v>
      </c>
      <c r="H31" s="27"/>
      <c r="I31" s="27">
        <f t="shared" si="5"/>
        <v>1.8184000000474043E-2</v>
      </c>
      <c r="K31" s="27"/>
      <c r="L31" s="27"/>
      <c r="M31" s="27"/>
      <c r="N31" s="27"/>
      <c r="O31" s="27">
        <f t="shared" ca="1" si="3"/>
        <v>-1.9830301650555975E-2</v>
      </c>
      <c r="P31" s="27"/>
      <c r="Q31" s="28">
        <f t="shared" si="4"/>
        <v>21442.839999999997</v>
      </c>
    </row>
    <row r="32" spans="1:31" x14ac:dyDescent="0.2">
      <c r="A32" s="51" t="s">
        <v>72</v>
      </c>
      <c r="B32" s="4" t="s">
        <v>47</v>
      </c>
      <c r="C32" s="38">
        <v>37556.39</v>
      </c>
      <c r="D32" s="38" t="s">
        <v>60</v>
      </c>
      <c r="E32" s="27">
        <f t="shared" si="0"/>
        <v>5418.9844396000908</v>
      </c>
      <c r="F32" s="27">
        <f t="shared" si="1"/>
        <v>5419</v>
      </c>
      <c r="G32" s="27">
        <f t="shared" si="2"/>
        <v>-3.4776000000420026E-2</v>
      </c>
      <c r="H32" s="27"/>
      <c r="I32" s="27">
        <f t="shared" si="5"/>
        <v>-3.4776000000420026E-2</v>
      </c>
      <c r="K32" s="27"/>
      <c r="L32" s="27"/>
      <c r="M32" s="27"/>
      <c r="N32" s="27"/>
      <c r="O32" s="27">
        <f t="shared" ca="1" si="3"/>
        <v>-2.1551881010892279E-2</v>
      </c>
      <c r="P32" s="27"/>
      <c r="Q32" s="28">
        <f t="shared" si="4"/>
        <v>22537.89</v>
      </c>
    </row>
    <row r="33" spans="1:19" x14ac:dyDescent="0.2">
      <c r="A33" s="51" t="s">
        <v>72</v>
      </c>
      <c r="B33" s="4" t="s">
        <v>47</v>
      </c>
      <c r="C33" s="38">
        <v>37583.33</v>
      </c>
      <c r="D33" s="38" t="s">
        <v>60</v>
      </c>
      <c r="E33" s="27">
        <f t="shared" si="0"/>
        <v>5431.0386486399429</v>
      </c>
      <c r="F33" s="27">
        <f t="shared" si="1"/>
        <v>5431</v>
      </c>
      <c r="G33" s="27">
        <f t="shared" si="2"/>
        <v>8.6376000006566755E-2</v>
      </c>
      <c r="H33" s="27"/>
      <c r="I33" s="27">
        <f t="shared" si="5"/>
        <v>8.6376000006566755E-2</v>
      </c>
      <c r="K33" s="27"/>
      <c r="L33" s="27"/>
      <c r="M33" s="27"/>
      <c r="N33" s="27"/>
      <c r="O33" s="27">
        <f t="shared" ca="1" si="3"/>
        <v>-2.1594042138084191E-2</v>
      </c>
      <c r="P33" s="27"/>
      <c r="Q33" s="28">
        <f t="shared" si="4"/>
        <v>22564.83</v>
      </c>
    </row>
    <row r="34" spans="1:19" x14ac:dyDescent="0.2">
      <c r="A34" s="51" t="s">
        <v>72</v>
      </c>
      <c r="B34" s="4" t="s">
        <v>47</v>
      </c>
      <c r="C34" s="38">
        <v>37842.49</v>
      </c>
      <c r="D34" s="38" t="s">
        <v>60</v>
      </c>
      <c r="E34" s="27">
        <f t="shared" si="0"/>
        <v>5546.9988867530774</v>
      </c>
      <c r="F34" s="27">
        <f t="shared" si="1"/>
        <v>5547</v>
      </c>
      <c r="G34" s="27">
        <f t="shared" si="2"/>
        <v>-2.4879999982658774E-3</v>
      </c>
      <c r="H34" s="27"/>
      <c r="I34" s="27">
        <f t="shared" si="5"/>
        <v>-2.4879999982658774E-3</v>
      </c>
      <c r="K34" s="27"/>
      <c r="L34" s="27"/>
      <c r="M34" s="27"/>
      <c r="N34" s="27"/>
      <c r="O34" s="27">
        <f t="shared" ca="1" si="3"/>
        <v>-2.2001599700939314E-2</v>
      </c>
      <c r="P34" s="27"/>
      <c r="Q34" s="28">
        <f t="shared" si="4"/>
        <v>22823.989999999998</v>
      </c>
    </row>
    <row r="35" spans="1:19" x14ac:dyDescent="0.2">
      <c r="A35" s="51" t="s">
        <v>72</v>
      </c>
      <c r="B35" s="4" t="s">
        <v>47</v>
      </c>
      <c r="C35" s="38">
        <v>37851.440000000002</v>
      </c>
      <c r="D35" s="38" t="s">
        <v>60</v>
      </c>
      <c r="E35" s="27">
        <f t="shared" si="0"/>
        <v>5551.0035330376622</v>
      </c>
      <c r="F35" s="27">
        <f t="shared" si="1"/>
        <v>5551</v>
      </c>
      <c r="G35" s="27">
        <f t="shared" si="2"/>
        <v>7.896000002801884E-3</v>
      </c>
      <c r="H35" s="27"/>
      <c r="I35" s="27">
        <f t="shared" si="5"/>
        <v>7.896000002801884E-3</v>
      </c>
      <c r="K35" s="27"/>
      <c r="L35" s="27"/>
      <c r="M35" s="27"/>
      <c r="N35" s="27"/>
      <c r="O35" s="27">
        <f t="shared" ca="1" si="3"/>
        <v>-2.2015653410003284E-2</v>
      </c>
      <c r="P35" s="27"/>
      <c r="Q35" s="28">
        <f t="shared" si="4"/>
        <v>22832.940000000002</v>
      </c>
    </row>
    <row r="36" spans="1:19" x14ac:dyDescent="0.2">
      <c r="A36" s="51" t="s">
        <v>72</v>
      </c>
      <c r="B36" s="4" t="s">
        <v>47</v>
      </c>
      <c r="C36" s="38">
        <v>37871.550000000003</v>
      </c>
      <c r="D36" s="38" t="s">
        <v>60</v>
      </c>
      <c r="E36" s="27">
        <f t="shared" si="0"/>
        <v>5560.0016823988881</v>
      </c>
      <c r="F36" s="27">
        <f t="shared" si="1"/>
        <v>5560</v>
      </c>
      <c r="G36" s="27">
        <f t="shared" si="2"/>
        <v>3.7600000068778172E-3</v>
      </c>
      <c r="H36" s="27"/>
      <c r="I36" s="27">
        <f t="shared" si="5"/>
        <v>3.7600000068778172E-3</v>
      </c>
      <c r="K36" s="27"/>
      <c r="L36" s="27"/>
      <c r="M36" s="27"/>
      <c r="N36" s="27"/>
      <c r="O36" s="27">
        <f t="shared" ca="1" si="3"/>
        <v>-2.2047274255397216E-2</v>
      </c>
      <c r="P36" s="27"/>
      <c r="Q36" s="28">
        <f t="shared" si="4"/>
        <v>22853.050000000003</v>
      </c>
    </row>
    <row r="37" spans="1:19" x14ac:dyDescent="0.2">
      <c r="A37" s="51" t="s">
        <v>72</v>
      </c>
      <c r="B37" s="4" t="s">
        <v>47</v>
      </c>
      <c r="C37" s="38">
        <v>37898.379999999997</v>
      </c>
      <c r="D37" t="s">
        <v>60</v>
      </c>
      <c r="E37" s="27">
        <f t="shared" si="0"/>
        <v>5572.0066723223899</v>
      </c>
      <c r="F37" s="27">
        <f t="shared" si="1"/>
        <v>5572</v>
      </c>
      <c r="G37" s="27">
        <f t="shared" si="2"/>
        <v>1.4911999998730607E-2</v>
      </c>
      <c r="H37" s="27"/>
      <c r="I37" s="27">
        <f t="shared" si="5"/>
        <v>1.4911999998730607E-2</v>
      </c>
      <c r="K37" s="27"/>
      <c r="L37" s="27"/>
      <c r="M37" s="27"/>
      <c r="N37" s="27"/>
      <c r="O37" s="27">
        <f t="shared" ca="1" si="3"/>
        <v>-2.2089435382589125E-2</v>
      </c>
      <c r="P37" s="27"/>
      <c r="Q37" s="28">
        <f t="shared" si="4"/>
        <v>22879.879999999997</v>
      </c>
    </row>
    <row r="38" spans="1:19" x14ac:dyDescent="0.2">
      <c r="A38" s="51" t="s">
        <v>72</v>
      </c>
      <c r="B38" s="4" t="s">
        <v>47</v>
      </c>
      <c r="C38" s="38">
        <v>37907.33</v>
      </c>
      <c r="D38" t="s">
        <v>60</v>
      </c>
      <c r="E38" s="27">
        <f t="shared" si="0"/>
        <v>5576.0113186069757</v>
      </c>
      <c r="F38" s="27">
        <f t="shared" si="1"/>
        <v>5576</v>
      </c>
      <c r="G38" s="27">
        <f t="shared" si="2"/>
        <v>2.5296000007074326E-2</v>
      </c>
      <c r="H38" s="27"/>
      <c r="I38" s="27">
        <f t="shared" si="5"/>
        <v>2.5296000007074326E-2</v>
      </c>
      <c r="K38" s="27"/>
      <c r="L38" s="27"/>
      <c r="M38" s="27"/>
      <c r="N38" s="27"/>
      <c r="O38" s="27">
        <f t="shared" ca="1" si="3"/>
        <v>-2.2103489091653095E-2</v>
      </c>
      <c r="P38" s="27"/>
      <c r="Q38" s="28">
        <f t="shared" si="4"/>
        <v>22888.83</v>
      </c>
    </row>
    <row r="39" spans="1:19" x14ac:dyDescent="0.2">
      <c r="A39" s="51" t="s">
        <v>72</v>
      </c>
      <c r="B39" s="4" t="s">
        <v>47</v>
      </c>
      <c r="C39" s="38">
        <v>37936.33</v>
      </c>
      <c r="D39" t="s">
        <v>60</v>
      </c>
      <c r="E39" s="27">
        <f t="shared" si="0"/>
        <v>5588.9872674620492</v>
      </c>
      <c r="F39" s="27">
        <f t="shared" si="1"/>
        <v>5589</v>
      </c>
      <c r="G39" s="27">
        <f t="shared" si="2"/>
        <v>-2.8456000000005588E-2</v>
      </c>
      <c r="H39" s="27"/>
      <c r="I39" s="27">
        <f t="shared" si="5"/>
        <v>-2.8456000000005588E-2</v>
      </c>
      <c r="K39" s="27"/>
      <c r="L39" s="27"/>
      <c r="M39" s="27"/>
      <c r="N39" s="27"/>
      <c r="O39" s="27">
        <f t="shared" ca="1" si="3"/>
        <v>-2.2149163646110998E-2</v>
      </c>
      <c r="P39" s="27"/>
      <c r="Q39" s="28">
        <f t="shared" si="4"/>
        <v>22917.83</v>
      </c>
    </row>
    <row r="40" spans="1:19" x14ac:dyDescent="0.2">
      <c r="A40" s="51" t="s">
        <v>121</v>
      </c>
      <c r="B40" s="4" t="s">
        <v>47</v>
      </c>
      <c r="C40" s="38">
        <v>38584.523999999998</v>
      </c>
      <c r="D40" t="s">
        <v>60</v>
      </c>
      <c r="E40" s="27">
        <f t="shared" si="0"/>
        <v>5879.0194120194865</v>
      </c>
      <c r="F40" s="27">
        <f t="shared" si="1"/>
        <v>5879</v>
      </c>
      <c r="G40" s="27">
        <f t="shared" si="2"/>
        <v>4.338399999687681E-2</v>
      </c>
      <c r="H40" s="27"/>
      <c r="I40" s="27">
        <f t="shared" si="5"/>
        <v>4.338399999687681E-2</v>
      </c>
      <c r="K40" s="27"/>
      <c r="L40" s="27"/>
      <c r="M40" s="27"/>
      <c r="N40" s="27"/>
      <c r="O40" s="27">
        <f t="shared" ca="1" si="3"/>
        <v>-2.316805755324881E-2</v>
      </c>
      <c r="P40" s="27"/>
      <c r="Q40" s="28">
        <f t="shared" si="4"/>
        <v>23566.023999999998</v>
      </c>
    </row>
    <row r="41" spans="1:19" x14ac:dyDescent="0.2">
      <c r="A41" s="51" t="s">
        <v>121</v>
      </c>
      <c r="B41" s="4" t="s">
        <v>47</v>
      </c>
      <c r="C41" s="38">
        <v>38640.373</v>
      </c>
      <c r="D41" t="s">
        <v>60</v>
      </c>
      <c r="E41" s="27">
        <f t="shared" si="0"/>
        <v>5904.0088522817987</v>
      </c>
      <c r="F41" s="27">
        <f t="shared" si="1"/>
        <v>5904</v>
      </c>
      <c r="G41" s="27">
        <f t="shared" si="2"/>
        <v>1.9784000003710389E-2</v>
      </c>
      <c r="H41" s="27"/>
      <c r="I41" s="27">
        <f t="shared" si="5"/>
        <v>1.9784000003710389E-2</v>
      </c>
      <c r="K41" s="27"/>
      <c r="L41" s="27"/>
      <c r="M41" s="27"/>
      <c r="N41" s="27"/>
      <c r="O41" s="27">
        <f t="shared" ca="1" si="3"/>
        <v>-2.3255893234898621E-2</v>
      </c>
      <c r="P41" s="27"/>
      <c r="Q41" s="28">
        <f t="shared" si="4"/>
        <v>23621.873</v>
      </c>
    </row>
    <row r="42" spans="1:19" x14ac:dyDescent="0.2">
      <c r="A42" s="51" t="s">
        <v>121</v>
      </c>
      <c r="B42" s="4" t="s">
        <v>47</v>
      </c>
      <c r="C42" s="38">
        <v>40030.483999999997</v>
      </c>
      <c r="D42" t="s">
        <v>60</v>
      </c>
      <c r="E42" s="27">
        <f t="shared" si="0"/>
        <v>6526.0091708637146</v>
      </c>
      <c r="F42" s="27">
        <f t="shared" si="1"/>
        <v>6526</v>
      </c>
      <c r="G42" s="27">
        <f t="shared" si="2"/>
        <v>2.0495999997365288E-2</v>
      </c>
      <c r="H42" s="27"/>
      <c r="I42" s="27">
        <f t="shared" si="5"/>
        <v>2.0495999997365288E-2</v>
      </c>
      <c r="K42" s="27"/>
      <c r="L42" s="27"/>
      <c r="M42" s="27"/>
      <c r="N42" s="27"/>
      <c r="O42" s="27">
        <f t="shared" ca="1" si="3"/>
        <v>-2.5441244994345927E-2</v>
      </c>
      <c r="P42" s="27"/>
      <c r="Q42" s="28">
        <f t="shared" si="4"/>
        <v>25011.983999999997</v>
      </c>
    </row>
    <row r="43" spans="1:19" x14ac:dyDescent="0.2">
      <c r="A43" s="51" t="s">
        <v>121</v>
      </c>
      <c r="B43" s="4" t="s">
        <v>47</v>
      </c>
      <c r="C43" s="38">
        <v>45492.514000000003</v>
      </c>
      <c r="D43" t="s">
        <v>60</v>
      </c>
      <c r="E43" s="27">
        <f t="shared" si="0"/>
        <v>8969.9754441354107</v>
      </c>
      <c r="F43" s="27">
        <f t="shared" si="1"/>
        <v>8970</v>
      </c>
      <c r="G43" s="27">
        <f t="shared" si="2"/>
        <v>-5.4879999996046536E-2</v>
      </c>
      <c r="H43" s="27"/>
      <c r="I43" s="27">
        <f t="shared" si="5"/>
        <v>-5.4879999996046536E-2</v>
      </c>
      <c r="K43" s="27"/>
      <c r="L43" s="27"/>
      <c r="M43" s="27"/>
      <c r="N43" s="27"/>
      <c r="O43" s="27">
        <f t="shared" ca="1" si="3"/>
        <v>-3.4028061232431489E-2</v>
      </c>
      <c r="P43" s="27"/>
      <c r="Q43" s="28">
        <f t="shared" si="4"/>
        <v>30474.014000000003</v>
      </c>
    </row>
    <row r="44" spans="1:19" x14ac:dyDescent="0.2">
      <c r="A44" s="51" t="s">
        <v>121</v>
      </c>
      <c r="B44" s="4" t="s">
        <v>47</v>
      </c>
      <c r="C44" s="38">
        <v>45854.533000000003</v>
      </c>
      <c r="D44" t="s">
        <v>60</v>
      </c>
      <c r="E44" s="27">
        <f t="shared" si="0"/>
        <v>9131.9595830514445</v>
      </c>
      <c r="F44" s="27">
        <f t="shared" si="1"/>
        <v>9132</v>
      </c>
      <c r="G44" s="27">
        <f t="shared" si="2"/>
        <v>-9.0327999998407904E-2</v>
      </c>
      <c r="H44" s="27"/>
      <c r="I44" s="27">
        <f t="shared" si="5"/>
        <v>-9.0327999998407904E-2</v>
      </c>
      <c r="K44" s="27"/>
      <c r="L44" s="27"/>
      <c r="M44" s="27"/>
      <c r="N44" s="27"/>
      <c r="O44" s="27">
        <f t="shared" ca="1" si="3"/>
        <v>-3.459723644952227E-2</v>
      </c>
      <c r="P44" s="27"/>
      <c r="Q44" s="28">
        <f t="shared" si="4"/>
        <v>30836.033000000003</v>
      </c>
    </row>
    <row r="45" spans="1:19" x14ac:dyDescent="0.2">
      <c r="A45" s="51" t="s">
        <v>121</v>
      </c>
      <c r="B45" s="4" t="s">
        <v>47</v>
      </c>
      <c r="C45" s="38">
        <v>46976.457999999999</v>
      </c>
      <c r="D45" t="s">
        <v>60</v>
      </c>
      <c r="E45" s="27">
        <f t="shared" si="0"/>
        <v>9633.9610113007093</v>
      </c>
      <c r="F45" s="27">
        <f t="shared" si="1"/>
        <v>9634</v>
      </c>
      <c r="G45" s="27">
        <f t="shared" si="2"/>
        <v>-8.7136000001919456E-2</v>
      </c>
      <c r="H45" s="27"/>
      <c r="I45" s="27">
        <f t="shared" si="5"/>
        <v>-8.7136000001919456E-2</v>
      </c>
      <c r="K45" s="27"/>
      <c r="L45" s="27"/>
      <c r="M45" s="27"/>
      <c r="N45" s="27"/>
      <c r="O45" s="27">
        <f t="shared" ca="1" si="3"/>
        <v>-3.6360976937050482E-2</v>
      </c>
      <c r="P45" s="27"/>
      <c r="Q45" s="28">
        <f t="shared" si="4"/>
        <v>31957.957999999999</v>
      </c>
    </row>
    <row r="46" spans="1:19" x14ac:dyDescent="0.2">
      <c r="A46" s="27" t="s">
        <v>26</v>
      </c>
      <c r="B46" s="27"/>
      <c r="C46" s="30">
        <v>47005.525000000001</v>
      </c>
      <c r="D46" s="30"/>
      <c r="E46" s="27">
        <f t="shared" si="0"/>
        <v>9646.9669390721047</v>
      </c>
      <c r="F46" s="27">
        <f t="shared" si="1"/>
        <v>9647</v>
      </c>
      <c r="G46" s="27">
        <f t="shared" si="2"/>
        <v>-7.3887999991711695E-2</v>
      </c>
      <c r="H46" s="27"/>
      <c r="I46" s="27">
        <f t="shared" si="5"/>
        <v>-7.3887999991711695E-2</v>
      </c>
      <c r="J46" s="27"/>
      <c r="K46" s="27"/>
      <c r="L46" s="27"/>
      <c r="M46" s="27"/>
      <c r="N46" s="27"/>
      <c r="O46" s="27">
        <f t="shared" ca="1" si="3"/>
        <v>-3.6406651491508374E-2</v>
      </c>
      <c r="P46" s="27"/>
      <c r="Q46" s="28">
        <f t="shared" si="4"/>
        <v>31987.025000000001</v>
      </c>
      <c r="R46" s="27"/>
      <c r="S46" s="27"/>
    </row>
    <row r="47" spans="1:19" x14ac:dyDescent="0.2">
      <c r="A47" s="27" t="s">
        <v>28</v>
      </c>
      <c r="B47" s="27"/>
      <c r="C47" s="30">
        <v>47023.41</v>
      </c>
      <c r="D47" s="30"/>
      <c r="E47" s="27">
        <f t="shared" si="0"/>
        <v>9654.9695199435882</v>
      </c>
      <c r="F47" s="27">
        <f t="shared" si="1"/>
        <v>9655</v>
      </c>
      <c r="G47" s="27">
        <f t="shared" si="2"/>
        <v>-6.8119999996270053E-2</v>
      </c>
      <c r="H47" s="27"/>
      <c r="I47" s="27">
        <f t="shared" si="5"/>
        <v>-6.8119999996270053E-2</v>
      </c>
      <c r="J47" s="27"/>
      <c r="K47" s="27"/>
      <c r="L47" s="27"/>
      <c r="M47" s="27"/>
      <c r="N47" s="27"/>
      <c r="O47" s="27">
        <f t="shared" ca="1" si="3"/>
        <v>-3.6434758909636322E-2</v>
      </c>
      <c r="P47" s="27"/>
      <c r="Q47" s="28">
        <f t="shared" si="4"/>
        <v>32004.910000000003</v>
      </c>
      <c r="R47" s="27"/>
      <c r="S47" s="27"/>
    </row>
    <row r="48" spans="1:19" x14ac:dyDescent="0.2">
      <c r="A48" s="27" t="s">
        <v>29</v>
      </c>
      <c r="B48" s="27"/>
      <c r="C48" s="30">
        <v>47385.462</v>
      </c>
      <c r="D48" s="30"/>
      <c r="E48" s="27">
        <f t="shared" si="0"/>
        <v>9816.9684245945245</v>
      </c>
      <c r="F48" s="27">
        <f t="shared" si="1"/>
        <v>9817</v>
      </c>
      <c r="G48" s="27">
        <f t="shared" si="2"/>
        <v>-7.0567999995546415E-2</v>
      </c>
      <c r="H48" s="27"/>
      <c r="I48" s="27">
        <f t="shared" si="5"/>
        <v>-7.0567999995546415E-2</v>
      </c>
      <c r="J48" s="27"/>
      <c r="K48" s="27"/>
      <c r="L48" s="27"/>
      <c r="M48" s="27"/>
      <c r="N48" s="27"/>
      <c r="O48" s="27">
        <f t="shared" ca="1" si="3"/>
        <v>-3.7003934126727089E-2</v>
      </c>
      <c r="P48" s="27"/>
      <c r="Q48" s="28">
        <f t="shared" si="4"/>
        <v>32366.962</v>
      </c>
      <c r="R48" s="27"/>
      <c r="S48" s="27"/>
    </row>
    <row r="49" spans="1:19" x14ac:dyDescent="0.2">
      <c r="A49" s="27" t="s">
        <v>30</v>
      </c>
      <c r="B49" s="27"/>
      <c r="C49" s="30">
        <v>47747.519999999997</v>
      </c>
      <c r="D49" s="30"/>
      <c r="E49" s="27">
        <f t="shared" si="0"/>
        <v>9978.970013924536</v>
      </c>
      <c r="F49" s="27">
        <f t="shared" si="1"/>
        <v>9979</v>
      </c>
      <c r="G49" s="27">
        <f t="shared" si="2"/>
        <v>-6.7016000000876375E-2</v>
      </c>
      <c r="H49" s="27"/>
      <c r="I49" s="27">
        <f t="shared" si="5"/>
        <v>-6.7016000000876375E-2</v>
      </c>
      <c r="J49" s="27"/>
      <c r="K49" s="27"/>
      <c r="L49" s="27"/>
      <c r="M49" s="27"/>
      <c r="N49" s="27"/>
      <c r="O49" s="27">
        <f t="shared" ca="1" si="3"/>
        <v>-3.757310934381787E-2</v>
      </c>
      <c r="P49" s="27"/>
      <c r="Q49" s="28">
        <f t="shared" si="4"/>
        <v>32729.019999999997</v>
      </c>
      <c r="R49" s="27"/>
      <c r="S49" s="27"/>
    </row>
    <row r="50" spans="1:19" x14ac:dyDescent="0.2">
      <c r="A50" s="51" t="s">
        <v>121</v>
      </c>
      <c r="B50" s="4" t="s">
        <v>47</v>
      </c>
      <c r="C50" s="38">
        <v>48098.457999999999</v>
      </c>
      <c r="D50" t="s">
        <v>60</v>
      </c>
      <c r="E50" s="27">
        <f t="shared" si="0"/>
        <v>10135.995998038396</v>
      </c>
      <c r="F50" s="27">
        <f t="shared" si="1"/>
        <v>10136</v>
      </c>
      <c r="G50" s="27">
        <f t="shared" si="2"/>
        <v>-8.944000001065433E-3</v>
      </c>
      <c r="H50" s="27"/>
      <c r="I50" s="27">
        <f t="shared" si="5"/>
        <v>-8.944000001065433E-3</v>
      </c>
      <c r="K50" s="27"/>
      <c r="L50" s="27"/>
      <c r="M50" s="27"/>
      <c r="N50" s="27"/>
      <c r="O50" s="27">
        <f t="shared" ca="1" si="3"/>
        <v>-3.8124717424578694E-2</v>
      </c>
      <c r="P50" s="27"/>
      <c r="Q50" s="28">
        <f t="shared" si="4"/>
        <v>33079.957999999999</v>
      </c>
    </row>
    <row r="51" spans="1:19" x14ac:dyDescent="0.2">
      <c r="A51" s="51" t="s">
        <v>121</v>
      </c>
      <c r="B51" s="4" t="s">
        <v>47</v>
      </c>
      <c r="C51" s="38">
        <v>48887.38</v>
      </c>
      <c r="D51" t="s">
        <v>60</v>
      </c>
      <c r="E51" s="27">
        <f t="shared" si="0"/>
        <v>10488.996395370898</v>
      </c>
      <c r="F51" s="27">
        <f t="shared" si="1"/>
        <v>10489</v>
      </c>
      <c r="G51" s="27">
        <f t="shared" si="2"/>
        <v>-8.055999998759944E-3</v>
      </c>
      <c r="H51" s="27"/>
      <c r="I51" s="27">
        <f t="shared" si="5"/>
        <v>-8.055999998759944E-3</v>
      </c>
      <c r="K51" s="27"/>
      <c r="L51" s="27"/>
      <c r="M51" s="27"/>
      <c r="N51" s="27"/>
      <c r="O51" s="27">
        <f t="shared" ca="1" si="3"/>
        <v>-3.9364957249474031E-2</v>
      </c>
      <c r="P51" s="27"/>
      <c r="Q51" s="28">
        <f t="shared" si="4"/>
        <v>33868.879999999997</v>
      </c>
    </row>
    <row r="52" spans="1:19" x14ac:dyDescent="0.2">
      <c r="A52" s="27" t="s">
        <v>31</v>
      </c>
      <c r="B52" s="27"/>
      <c r="C52" s="30">
        <v>49479.576999999997</v>
      </c>
      <c r="D52" s="30"/>
      <c r="E52" s="27">
        <f t="shared" si="0"/>
        <v>10753.972877582213</v>
      </c>
      <c r="F52" s="27">
        <f t="shared" si="1"/>
        <v>10754</v>
      </c>
      <c r="G52" s="27">
        <f t="shared" si="2"/>
        <v>-6.0615999995206948E-2</v>
      </c>
      <c r="H52" s="27"/>
      <c r="I52" s="27">
        <f t="shared" si="5"/>
        <v>-6.0615999995206948E-2</v>
      </c>
      <c r="J52" s="27"/>
      <c r="K52" s="27"/>
      <c r="L52" s="27"/>
      <c r="M52" s="27"/>
      <c r="N52" s="27"/>
      <c r="O52" s="27">
        <f t="shared" ca="1" si="3"/>
        <v>-4.0296015474962033E-2</v>
      </c>
      <c r="P52" s="27"/>
      <c r="Q52" s="28">
        <f t="shared" si="4"/>
        <v>34461.076999999997</v>
      </c>
      <c r="R52" s="27"/>
      <c r="S52" s="27"/>
    </row>
    <row r="53" spans="1:19" x14ac:dyDescent="0.2">
      <c r="A53" s="27" t="s">
        <v>33</v>
      </c>
      <c r="B53" s="27"/>
      <c r="C53" s="30">
        <v>49535.453999999998</v>
      </c>
      <c r="D53" s="30">
        <v>5.0000000000000001E-3</v>
      </c>
      <c r="E53" s="27">
        <f t="shared" si="0"/>
        <v>10778.974846346868</v>
      </c>
      <c r="F53" s="27">
        <f t="shared" si="1"/>
        <v>10779</v>
      </c>
      <c r="G53" s="27">
        <f t="shared" si="2"/>
        <v>-5.6215999997220933E-2</v>
      </c>
      <c r="H53" s="27"/>
      <c r="I53" s="27">
        <f t="shared" si="5"/>
        <v>-5.6215999997220933E-2</v>
      </c>
      <c r="J53" s="27"/>
      <c r="K53" s="27"/>
      <c r="L53" s="27"/>
      <c r="M53" s="27"/>
      <c r="N53" s="27"/>
      <c r="O53" s="27">
        <f t="shared" ca="1" si="3"/>
        <v>-4.0383851156611833E-2</v>
      </c>
      <c r="P53" s="27"/>
      <c r="Q53" s="28">
        <f t="shared" si="4"/>
        <v>34516.953999999998</v>
      </c>
      <c r="R53" s="27"/>
      <c r="S53" s="27"/>
    </row>
    <row r="54" spans="1:19" x14ac:dyDescent="0.2">
      <c r="A54" s="31" t="s">
        <v>45</v>
      </c>
      <c r="B54" s="32"/>
      <c r="C54" s="33">
        <v>49546.498299999999</v>
      </c>
      <c r="D54" s="33">
        <v>5.0000000000000001E-4</v>
      </c>
      <c r="E54" s="27">
        <f t="shared" si="0"/>
        <v>10783.916579862043</v>
      </c>
      <c r="F54" s="27">
        <f t="shared" si="1"/>
        <v>10784</v>
      </c>
      <c r="G54" s="27">
        <f t="shared" si="2"/>
        <v>-0.18643599999631988</v>
      </c>
      <c r="H54" s="27"/>
      <c r="I54" s="27"/>
      <c r="J54" s="27">
        <f>G54</f>
        <v>-0.18643599999631988</v>
      </c>
      <c r="K54" s="27"/>
      <c r="L54" s="27"/>
      <c r="M54" s="27"/>
      <c r="N54" s="27"/>
      <c r="O54" s="27">
        <f t="shared" ca="1" si="3"/>
        <v>-4.0401418292941804E-2</v>
      </c>
      <c r="P54" s="27"/>
      <c r="Q54" s="28">
        <f t="shared" si="4"/>
        <v>34527.998299999999</v>
      </c>
      <c r="R54" s="27"/>
      <c r="S54" s="27"/>
    </row>
    <row r="55" spans="1:19" x14ac:dyDescent="0.2">
      <c r="A55" s="27" t="s">
        <v>34</v>
      </c>
      <c r="B55" s="27"/>
      <c r="C55" s="30">
        <v>49888.546000000002</v>
      </c>
      <c r="D55" s="30">
        <v>3.0000000000000001E-3</v>
      </c>
      <c r="E55" s="27">
        <f t="shared" si="0"/>
        <v>10936.964630248101</v>
      </c>
      <c r="F55" s="27">
        <f t="shared" si="1"/>
        <v>10937</v>
      </c>
      <c r="G55" s="27">
        <f t="shared" si="2"/>
        <v>-7.9047999999602325E-2</v>
      </c>
      <c r="H55" s="27"/>
      <c r="I55" s="27">
        <f>G55</f>
        <v>-7.9047999999602325E-2</v>
      </c>
      <c r="J55" s="27"/>
      <c r="K55" s="27"/>
      <c r="L55" s="27"/>
      <c r="M55" s="27"/>
      <c r="N55" s="27"/>
      <c r="O55" s="27">
        <f t="shared" ca="1" si="3"/>
        <v>-4.093897266463864E-2</v>
      </c>
      <c r="P55" s="27"/>
      <c r="Q55" s="28">
        <f t="shared" si="4"/>
        <v>34870.046000000002</v>
      </c>
      <c r="R55" s="27"/>
      <c r="S55" s="27"/>
    </row>
    <row r="56" spans="1:19" x14ac:dyDescent="0.2">
      <c r="A56" s="51" t="s">
        <v>177</v>
      </c>
      <c r="B56" s="4" t="s">
        <v>47</v>
      </c>
      <c r="C56" s="38">
        <v>51781.51</v>
      </c>
      <c r="D56" t="s">
        <v>60</v>
      </c>
      <c r="E56" s="27">
        <f t="shared" si="0"/>
        <v>11783.964769851415</v>
      </c>
      <c r="F56" s="27">
        <f t="shared" si="1"/>
        <v>11784</v>
      </c>
      <c r="G56" s="27">
        <f t="shared" si="2"/>
        <v>-7.8735999995842576E-2</v>
      </c>
      <c r="H56" s="27"/>
      <c r="I56" s="27">
        <f>G56</f>
        <v>-7.8735999995842576E-2</v>
      </c>
      <c r="K56" s="27"/>
      <c r="L56" s="27"/>
      <c r="M56" s="27"/>
      <c r="N56" s="27"/>
      <c r="O56" s="27">
        <f t="shared" ca="1" si="3"/>
        <v>-4.3914845558934254E-2</v>
      </c>
      <c r="P56" s="27"/>
      <c r="Q56" s="28">
        <f t="shared" si="4"/>
        <v>36763.01</v>
      </c>
    </row>
    <row r="57" spans="1:19" x14ac:dyDescent="0.2">
      <c r="A57" s="27" t="s">
        <v>35</v>
      </c>
      <c r="B57" s="27"/>
      <c r="C57" s="30">
        <v>52503.409500000002</v>
      </c>
      <c r="D57" s="30">
        <v>2.9999999999999997E-4</v>
      </c>
      <c r="E57" s="27">
        <f t="shared" si="0"/>
        <v>12106.976183317049</v>
      </c>
      <c r="F57" s="27">
        <f t="shared" si="1"/>
        <v>12107</v>
      </c>
      <c r="G57" s="27">
        <f t="shared" si="2"/>
        <v>-5.3227999997034203E-2</v>
      </c>
      <c r="H57" s="27"/>
      <c r="I57" s="27"/>
      <c r="J57" s="27">
        <f>G57</f>
        <v>-5.3227999997034203E-2</v>
      </c>
      <c r="K57" s="27"/>
      <c r="L57" s="27"/>
      <c r="M57" s="27"/>
      <c r="N57" s="27"/>
      <c r="O57" s="27">
        <f t="shared" ca="1" si="3"/>
        <v>-4.5049682565849819E-2</v>
      </c>
      <c r="P57" s="27"/>
      <c r="Q57" s="28">
        <f t="shared" si="4"/>
        <v>37484.909500000002</v>
      </c>
      <c r="R57" s="27"/>
      <c r="S57" s="27"/>
    </row>
    <row r="58" spans="1:19" x14ac:dyDescent="0.2">
      <c r="A58" s="51" t="s">
        <v>189</v>
      </c>
      <c r="B58" s="4" t="s">
        <v>47</v>
      </c>
      <c r="C58" s="38">
        <v>55795.4758</v>
      </c>
      <c r="D58" t="s">
        <v>60</v>
      </c>
      <c r="E58" s="27">
        <f t="shared" si="0"/>
        <v>13579.999767327816</v>
      </c>
      <c r="F58" s="27">
        <f t="shared" si="1"/>
        <v>13580</v>
      </c>
      <c r="G58" s="27">
        <f t="shared" si="2"/>
        <v>-5.2000000141561031E-4</v>
      </c>
      <c r="H58" s="27"/>
      <c r="I58" s="27">
        <f>G58</f>
        <v>-5.2000000141561031E-4</v>
      </c>
      <c r="L58" s="27"/>
      <c r="M58" s="27"/>
      <c r="N58" s="27"/>
      <c r="O58" s="27">
        <f t="shared" ca="1" si="3"/>
        <v>-5.0224960928656706E-2</v>
      </c>
      <c r="P58" s="27"/>
      <c r="Q58" s="28">
        <f t="shared" si="4"/>
        <v>40776.9758</v>
      </c>
    </row>
    <row r="59" spans="1:19" x14ac:dyDescent="0.2">
      <c r="A59" s="34" t="s">
        <v>46</v>
      </c>
      <c r="B59" s="35" t="s">
        <v>47</v>
      </c>
      <c r="C59" s="36">
        <v>56926.383999999998</v>
      </c>
      <c r="D59" s="36">
        <v>3.0000000000000001E-3</v>
      </c>
      <c r="E59" s="27">
        <f t="shared" si="0"/>
        <v>14086.020697085871</v>
      </c>
      <c r="F59" s="27">
        <f t="shared" si="1"/>
        <v>14086</v>
      </c>
      <c r="G59" s="27">
        <f t="shared" si="2"/>
        <v>4.6256000001449138E-2</v>
      </c>
      <c r="H59" s="27"/>
      <c r="K59" s="27">
        <f>G59</f>
        <v>4.6256000001449138E-2</v>
      </c>
      <c r="L59" s="27"/>
      <c r="M59" s="27"/>
      <c r="N59" s="27"/>
      <c r="O59" s="27">
        <f t="shared" ca="1" si="3"/>
        <v>-5.2002755125248878E-2</v>
      </c>
      <c r="P59" s="27"/>
      <c r="Q59" s="28">
        <f t="shared" si="4"/>
        <v>41907.883999999998</v>
      </c>
      <c r="R59" s="27"/>
      <c r="S59" s="2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9"/>
  <sheetViews>
    <sheetView topLeftCell="A3" workbookViewId="0">
      <selection activeCell="A20" sqref="A20:D47"/>
    </sheetView>
  </sheetViews>
  <sheetFormatPr defaultRowHeight="12.75" x14ac:dyDescent="0.2"/>
  <cols>
    <col min="1" max="1" width="19.7109375" style="38" customWidth="1"/>
    <col min="2" max="2" width="4.42578125" style="11" customWidth="1"/>
    <col min="3" max="3" width="12.7109375" style="3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50</v>
      </c>
      <c r="I1" s="39" t="s">
        <v>51</v>
      </c>
      <c r="J1" s="40" t="s">
        <v>52</v>
      </c>
    </row>
    <row r="2" spans="1:16" x14ac:dyDescent="0.2">
      <c r="I2" s="41" t="s">
        <v>53</v>
      </c>
      <c r="J2" s="42" t="s">
        <v>54</v>
      </c>
    </row>
    <row r="3" spans="1:16" x14ac:dyDescent="0.2">
      <c r="A3" s="43" t="s">
        <v>55</v>
      </c>
      <c r="I3" s="41" t="s">
        <v>56</v>
      </c>
      <c r="J3" s="42" t="s">
        <v>57</v>
      </c>
    </row>
    <row r="4" spans="1:16" x14ac:dyDescent="0.2">
      <c r="I4" s="41" t="s">
        <v>58</v>
      </c>
      <c r="J4" s="42" t="s">
        <v>57</v>
      </c>
    </row>
    <row r="5" spans="1:16" ht="13.5" thickBot="1" x14ac:dyDescent="0.25">
      <c r="I5" s="44" t="s">
        <v>59</v>
      </c>
      <c r="J5" s="45" t="s">
        <v>60</v>
      </c>
    </row>
    <row r="10" spans="1:16" ht="13.5" thickBot="1" x14ac:dyDescent="0.25"/>
    <row r="11" spans="1:16" ht="12.75" customHeight="1" thickBot="1" x14ac:dyDescent="0.25">
      <c r="A11" s="38" t="str">
        <f t="shared" ref="A11:A47" si="0">P11</f>
        <v> BBS 84 </v>
      </c>
      <c r="B11" s="4" t="str">
        <f t="shared" ref="B11:B47" si="1">IF(H11=INT(H11),"I","II")</f>
        <v>I</v>
      </c>
      <c r="C11" s="38">
        <f t="shared" ref="C11:C47" si="2">1*G11</f>
        <v>47005.525000000001</v>
      </c>
      <c r="D11" s="11" t="str">
        <f t="shared" ref="D11:D47" si="3">VLOOKUP(F11,I$1:J$5,2,FALSE)</f>
        <v>vis</v>
      </c>
      <c r="E11" s="46">
        <f>VLOOKUP(C11,Active!C$21:E$973,3,FALSE)</f>
        <v>9646.9669390721047</v>
      </c>
      <c r="F11" s="4" t="s">
        <v>59</v>
      </c>
      <c r="G11" s="11" t="str">
        <f t="shared" ref="G11:G47" si="4">MID(I11,3,LEN(I11)-3)</f>
        <v>47005.525</v>
      </c>
      <c r="H11" s="38">
        <f t="shared" ref="H11:H47" si="5">1*K11</f>
        <v>9647</v>
      </c>
      <c r="I11" s="47" t="s">
        <v>136</v>
      </c>
      <c r="J11" s="48" t="s">
        <v>137</v>
      </c>
      <c r="K11" s="47">
        <v>9647</v>
      </c>
      <c r="L11" s="47" t="s">
        <v>138</v>
      </c>
      <c r="M11" s="48" t="s">
        <v>139</v>
      </c>
      <c r="N11" s="48"/>
      <c r="O11" s="49" t="s">
        <v>140</v>
      </c>
      <c r="P11" s="49" t="s">
        <v>141</v>
      </c>
    </row>
    <row r="12" spans="1:16" ht="12.75" customHeight="1" thickBot="1" x14ac:dyDescent="0.25">
      <c r="A12" s="38" t="str">
        <f t="shared" si="0"/>
        <v> BBS 85 </v>
      </c>
      <c r="B12" s="4" t="str">
        <f t="shared" si="1"/>
        <v>I</v>
      </c>
      <c r="C12" s="38">
        <f t="shared" si="2"/>
        <v>47023.41</v>
      </c>
      <c r="D12" s="11" t="str">
        <f t="shared" si="3"/>
        <v>vis</v>
      </c>
      <c r="E12" s="46">
        <f>VLOOKUP(C12,Active!C$21:E$973,3,FALSE)</f>
        <v>9654.9695199435882</v>
      </c>
      <c r="F12" s="4" t="s">
        <v>59</v>
      </c>
      <c r="G12" s="11" t="str">
        <f t="shared" si="4"/>
        <v>47023.410</v>
      </c>
      <c r="H12" s="38">
        <f t="shared" si="5"/>
        <v>9655</v>
      </c>
      <c r="I12" s="47" t="s">
        <v>142</v>
      </c>
      <c r="J12" s="48" t="s">
        <v>143</v>
      </c>
      <c r="K12" s="47">
        <v>9655</v>
      </c>
      <c r="L12" s="47" t="s">
        <v>144</v>
      </c>
      <c r="M12" s="48" t="s">
        <v>139</v>
      </c>
      <c r="N12" s="48"/>
      <c r="O12" s="49" t="s">
        <v>140</v>
      </c>
      <c r="P12" s="49" t="s">
        <v>145</v>
      </c>
    </row>
    <row r="13" spans="1:16" ht="12.75" customHeight="1" thickBot="1" x14ac:dyDescent="0.25">
      <c r="A13" s="38" t="str">
        <f t="shared" si="0"/>
        <v> BBS 89 </v>
      </c>
      <c r="B13" s="4" t="str">
        <f t="shared" si="1"/>
        <v>I</v>
      </c>
      <c r="C13" s="38">
        <f t="shared" si="2"/>
        <v>47385.462</v>
      </c>
      <c r="D13" s="11" t="str">
        <f t="shared" si="3"/>
        <v>vis</v>
      </c>
      <c r="E13" s="46">
        <f>VLOOKUP(C13,Active!C$21:E$973,3,FALSE)</f>
        <v>9816.9684245945245</v>
      </c>
      <c r="F13" s="4" t="s">
        <v>59</v>
      </c>
      <c r="G13" s="11" t="str">
        <f t="shared" si="4"/>
        <v>47385.462</v>
      </c>
      <c r="H13" s="38">
        <f t="shared" si="5"/>
        <v>9817</v>
      </c>
      <c r="I13" s="47" t="s">
        <v>146</v>
      </c>
      <c r="J13" s="48" t="s">
        <v>147</v>
      </c>
      <c r="K13" s="47">
        <v>9817</v>
      </c>
      <c r="L13" s="47" t="s">
        <v>148</v>
      </c>
      <c r="M13" s="48" t="s">
        <v>139</v>
      </c>
      <c r="N13" s="48"/>
      <c r="O13" s="49" t="s">
        <v>140</v>
      </c>
      <c r="P13" s="49" t="s">
        <v>149</v>
      </c>
    </row>
    <row r="14" spans="1:16" ht="12.75" customHeight="1" thickBot="1" x14ac:dyDescent="0.25">
      <c r="A14" s="38" t="str">
        <f t="shared" si="0"/>
        <v> BBS 92 </v>
      </c>
      <c r="B14" s="4" t="str">
        <f t="shared" si="1"/>
        <v>I</v>
      </c>
      <c r="C14" s="38">
        <f t="shared" si="2"/>
        <v>47747.519999999997</v>
      </c>
      <c r="D14" s="11" t="str">
        <f t="shared" si="3"/>
        <v>vis</v>
      </c>
      <c r="E14" s="46">
        <f>VLOOKUP(C14,Active!C$21:E$973,3,FALSE)</f>
        <v>9978.970013924536</v>
      </c>
      <c r="F14" s="4" t="s">
        <v>59</v>
      </c>
      <c r="G14" s="11" t="str">
        <f t="shared" si="4"/>
        <v>47747.520</v>
      </c>
      <c r="H14" s="38">
        <f t="shared" si="5"/>
        <v>9979</v>
      </c>
      <c r="I14" s="47" t="s">
        <v>150</v>
      </c>
      <c r="J14" s="48" t="s">
        <v>151</v>
      </c>
      <c r="K14" s="47">
        <v>9979</v>
      </c>
      <c r="L14" s="47" t="s">
        <v>152</v>
      </c>
      <c r="M14" s="48" t="s">
        <v>139</v>
      </c>
      <c r="N14" s="48"/>
      <c r="O14" s="49" t="s">
        <v>140</v>
      </c>
      <c r="P14" s="49" t="s">
        <v>153</v>
      </c>
    </row>
    <row r="15" spans="1:16" ht="12.75" customHeight="1" thickBot="1" x14ac:dyDescent="0.25">
      <c r="A15" s="38" t="str">
        <f t="shared" si="0"/>
        <v> BBS 106 </v>
      </c>
      <c r="B15" s="4" t="str">
        <f t="shared" si="1"/>
        <v>I</v>
      </c>
      <c r="C15" s="38">
        <f t="shared" si="2"/>
        <v>49479.576999999997</v>
      </c>
      <c r="D15" s="11" t="str">
        <f t="shared" si="3"/>
        <v>vis</v>
      </c>
      <c r="E15" s="46">
        <f>VLOOKUP(C15,Active!C$21:E$973,3,FALSE)</f>
        <v>10753.972877582213</v>
      </c>
      <c r="F15" s="4" t="s">
        <v>59</v>
      </c>
      <c r="G15" s="11" t="str">
        <f t="shared" si="4"/>
        <v>49479.577</v>
      </c>
      <c r="H15" s="38">
        <f t="shared" si="5"/>
        <v>10754</v>
      </c>
      <c r="I15" s="47" t="s">
        <v>160</v>
      </c>
      <c r="J15" s="48" t="s">
        <v>161</v>
      </c>
      <c r="K15" s="47">
        <v>10754</v>
      </c>
      <c r="L15" s="47" t="s">
        <v>162</v>
      </c>
      <c r="M15" s="48" t="s">
        <v>139</v>
      </c>
      <c r="N15" s="48"/>
      <c r="O15" s="49" t="s">
        <v>140</v>
      </c>
      <c r="P15" s="49" t="s">
        <v>163</v>
      </c>
    </row>
    <row r="16" spans="1:16" ht="12.75" customHeight="1" thickBot="1" x14ac:dyDescent="0.25">
      <c r="A16" s="38" t="str">
        <f t="shared" si="0"/>
        <v> BBS 108 </v>
      </c>
      <c r="B16" s="4" t="str">
        <f t="shared" si="1"/>
        <v>I</v>
      </c>
      <c r="C16" s="38">
        <f t="shared" si="2"/>
        <v>49535.453999999998</v>
      </c>
      <c r="D16" s="11" t="str">
        <f t="shared" si="3"/>
        <v>vis</v>
      </c>
      <c r="E16" s="46">
        <f>VLOOKUP(C16,Active!C$21:E$973,3,FALSE)</f>
        <v>10778.974846346868</v>
      </c>
      <c r="F16" s="4" t="s">
        <v>59</v>
      </c>
      <c r="G16" s="11" t="str">
        <f t="shared" si="4"/>
        <v>49535.454</v>
      </c>
      <c r="H16" s="38">
        <f t="shared" si="5"/>
        <v>10779</v>
      </c>
      <c r="I16" s="47" t="s">
        <v>164</v>
      </c>
      <c r="J16" s="48" t="s">
        <v>165</v>
      </c>
      <c r="K16" s="47">
        <v>10779</v>
      </c>
      <c r="L16" s="47" t="s">
        <v>166</v>
      </c>
      <c r="M16" s="48" t="s">
        <v>167</v>
      </c>
      <c r="N16" s="48" t="s">
        <v>168</v>
      </c>
      <c r="O16" s="49" t="s">
        <v>169</v>
      </c>
      <c r="P16" s="49" t="s">
        <v>170</v>
      </c>
    </row>
    <row r="17" spans="1:16" ht="12.75" customHeight="1" thickBot="1" x14ac:dyDescent="0.25">
      <c r="A17" s="38" t="str">
        <f t="shared" si="0"/>
        <v> BBS 109 </v>
      </c>
      <c r="B17" s="4" t="str">
        <f t="shared" si="1"/>
        <v>I</v>
      </c>
      <c r="C17" s="38">
        <f t="shared" si="2"/>
        <v>49888.546000000002</v>
      </c>
      <c r="D17" s="11" t="str">
        <f t="shared" si="3"/>
        <v>vis</v>
      </c>
      <c r="E17" s="46">
        <f>VLOOKUP(C17,Active!C$21:E$973,3,FALSE)</f>
        <v>10936.964630248101</v>
      </c>
      <c r="F17" s="4" t="s">
        <v>59</v>
      </c>
      <c r="G17" s="11" t="str">
        <f t="shared" si="4"/>
        <v>49888.546</v>
      </c>
      <c r="H17" s="38">
        <f t="shared" si="5"/>
        <v>10937</v>
      </c>
      <c r="I17" s="47" t="s">
        <v>171</v>
      </c>
      <c r="J17" s="48" t="s">
        <v>172</v>
      </c>
      <c r="K17" s="47">
        <v>10937</v>
      </c>
      <c r="L17" s="47" t="s">
        <v>173</v>
      </c>
      <c r="M17" s="48" t="s">
        <v>139</v>
      </c>
      <c r="N17" s="48"/>
      <c r="O17" s="49" t="s">
        <v>140</v>
      </c>
      <c r="P17" s="49" t="s">
        <v>174</v>
      </c>
    </row>
    <row r="18" spans="1:16" ht="12.75" customHeight="1" thickBot="1" x14ac:dyDescent="0.25">
      <c r="A18" s="38" t="str">
        <f t="shared" si="0"/>
        <v>BAVM 158 </v>
      </c>
      <c r="B18" s="4" t="str">
        <f t="shared" si="1"/>
        <v>I</v>
      </c>
      <c r="C18" s="38">
        <f t="shared" si="2"/>
        <v>52503.409500000002</v>
      </c>
      <c r="D18" s="11" t="str">
        <f t="shared" si="3"/>
        <v>vis</v>
      </c>
      <c r="E18" s="46">
        <f>VLOOKUP(C18,Active!C$21:E$973,3,FALSE)</f>
        <v>12106.976183317049</v>
      </c>
      <c r="F18" s="4" t="s">
        <v>59</v>
      </c>
      <c r="G18" s="11" t="str">
        <f t="shared" si="4"/>
        <v>52503.4095</v>
      </c>
      <c r="H18" s="38">
        <f t="shared" si="5"/>
        <v>12107</v>
      </c>
      <c r="I18" s="47" t="s">
        <v>178</v>
      </c>
      <c r="J18" s="48" t="s">
        <v>179</v>
      </c>
      <c r="K18" s="47">
        <v>12107</v>
      </c>
      <c r="L18" s="47" t="s">
        <v>180</v>
      </c>
      <c r="M18" s="48" t="s">
        <v>167</v>
      </c>
      <c r="N18" s="48" t="s">
        <v>181</v>
      </c>
      <c r="O18" s="49" t="s">
        <v>182</v>
      </c>
      <c r="P18" s="50" t="s">
        <v>183</v>
      </c>
    </row>
    <row r="19" spans="1:16" ht="12.75" customHeight="1" thickBot="1" x14ac:dyDescent="0.25">
      <c r="A19" s="38" t="str">
        <f t="shared" si="0"/>
        <v>OEJV 0172 </v>
      </c>
      <c r="B19" s="4" t="str">
        <f t="shared" si="1"/>
        <v>I</v>
      </c>
      <c r="C19" s="38">
        <f t="shared" si="2"/>
        <v>56926.383999999998</v>
      </c>
      <c r="D19" s="11" t="str">
        <f t="shared" si="3"/>
        <v>vis</v>
      </c>
      <c r="E19" s="46">
        <f>VLOOKUP(C19,Active!C$21:E$973,3,FALSE)</f>
        <v>14086.020697085871</v>
      </c>
      <c r="F19" s="4" t="s">
        <v>59</v>
      </c>
      <c r="G19" s="11" t="str">
        <f t="shared" si="4"/>
        <v>56926.384</v>
      </c>
      <c r="H19" s="38">
        <f t="shared" si="5"/>
        <v>14086</v>
      </c>
      <c r="I19" s="47" t="s">
        <v>190</v>
      </c>
      <c r="J19" s="48" t="s">
        <v>191</v>
      </c>
      <c r="K19" s="47" t="s">
        <v>192</v>
      </c>
      <c r="L19" s="47" t="s">
        <v>193</v>
      </c>
      <c r="M19" s="48" t="s">
        <v>187</v>
      </c>
      <c r="N19" s="48" t="s">
        <v>181</v>
      </c>
      <c r="O19" s="49" t="s">
        <v>169</v>
      </c>
      <c r="P19" s="50" t="s">
        <v>194</v>
      </c>
    </row>
    <row r="20" spans="1:16" ht="12.75" customHeight="1" thickBot="1" x14ac:dyDescent="0.25">
      <c r="A20" s="38" t="str">
        <f t="shared" si="0"/>
        <v> KVBB 19.33 </v>
      </c>
      <c r="B20" s="4" t="str">
        <f t="shared" si="1"/>
        <v>I</v>
      </c>
      <c r="C20" s="38">
        <f t="shared" si="2"/>
        <v>25445.518</v>
      </c>
      <c r="D20" s="11" t="str">
        <f t="shared" si="3"/>
        <v>vis</v>
      </c>
      <c r="E20" s="46">
        <f>VLOOKUP(C20,Active!C$21:E$973,3,FALSE)</f>
        <v>1.7002967465477564E-2</v>
      </c>
      <c r="F20" s="4" t="s">
        <v>59</v>
      </c>
      <c r="G20" s="11" t="str">
        <f t="shared" si="4"/>
        <v>25445.518</v>
      </c>
      <c r="H20" s="38">
        <f t="shared" si="5"/>
        <v>0</v>
      </c>
      <c r="I20" s="47" t="s">
        <v>62</v>
      </c>
      <c r="J20" s="48" t="s">
        <v>63</v>
      </c>
      <c r="K20" s="47">
        <v>0</v>
      </c>
      <c r="L20" s="47" t="s">
        <v>64</v>
      </c>
      <c r="M20" s="48" t="s">
        <v>65</v>
      </c>
      <c r="N20" s="48"/>
      <c r="O20" s="49" t="s">
        <v>66</v>
      </c>
      <c r="P20" s="49" t="s">
        <v>67</v>
      </c>
    </row>
    <row r="21" spans="1:16" ht="12.75" customHeight="1" thickBot="1" x14ac:dyDescent="0.25">
      <c r="A21" s="38" t="str">
        <f t="shared" si="0"/>
        <v> VSS 7.84 </v>
      </c>
      <c r="B21" s="4" t="str">
        <f t="shared" si="1"/>
        <v>I</v>
      </c>
      <c r="C21" s="38">
        <f t="shared" si="2"/>
        <v>25492.42</v>
      </c>
      <c r="D21" s="11" t="str">
        <f t="shared" si="3"/>
        <v>vis</v>
      </c>
      <c r="E21" s="46">
        <f>VLOOKUP(C21,Active!C$21:E$973,3,FALSE)</f>
        <v>21.003139284729318</v>
      </c>
      <c r="F21" s="4" t="s">
        <v>59</v>
      </c>
      <c r="G21" s="11" t="str">
        <f t="shared" si="4"/>
        <v>25492.42</v>
      </c>
      <c r="H21" s="38">
        <f t="shared" si="5"/>
        <v>21</v>
      </c>
      <c r="I21" s="47" t="s">
        <v>68</v>
      </c>
      <c r="J21" s="48" t="s">
        <v>69</v>
      </c>
      <c r="K21" s="47">
        <v>21</v>
      </c>
      <c r="L21" s="47" t="s">
        <v>70</v>
      </c>
      <c r="M21" s="48" t="s">
        <v>65</v>
      </c>
      <c r="N21" s="48"/>
      <c r="O21" s="49" t="s">
        <v>71</v>
      </c>
      <c r="P21" s="49" t="s">
        <v>72</v>
      </c>
    </row>
    <row r="22" spans="1:16" ht="12.75" customHeight="1" thickBot="1" x14ac:dyDescent="0.25">
      <c r="A22" s="38" t="str">
        <f t="shared" si="0"/>
        <v> VSS 7.84 </v>
      </c>
      <c r="B22" s="4" t="str">
        <f t="shared" si="1"/>
        <v>I</v>
      </c>
      <c r="C22" s="38">
        <f t="shared" si="2"/>
        <v>25807.43</v>
      </c>
      <c r="D22" s="11" t="str">
        <f t="shared" si="3"/>
        <v>vis</v>
      </c>
      <c r="E22" s="46">
        <f>VLOOKUP(C22,Active!C$21:E$973,3,FALSE)</f>
        <v>161.95326510668949</v>
      </c>
      <c r="F22" s="4" t="s">
        <v>59</v>
      </c>
      <c r="G22" s="11" t="str">
        <f t="shared" si="4"/>
        <v>25807.43</v>
      </c>
      <c r="H22" s="38">
        <f t="shared" si="5"/>
        <v>162</v>
      </c>
      <c r="I22" s="47" t="s">
        <v>73</v>
      </c>
      <c r="J22" s="48" t="s">
        <v>74</v>
      </c>
      <c r="K22" s="47">
        <v>162</v>
      </c>
      <c r="L22" s="47" t="s">
        <v>75</v>
      </c>
      <c r="M22" s="48" t="s">
        <v>65</v>
      </c>
      <c r="N22" s="48"/>
      <c r="O22" s="49" t="s">
        <v>71</v>
      </c>
      <c r="P22" s="49" t="s">
        <v>72</v>
      </c>
    </row>
    <row r="23" spans="1:16" ht="12.75" customHeight="1" thickBot="1" x14ac:dyDescent="0.25">
      <c r="A23" s="38" t="str">
        <f t="shared" si="0"/>
        <v> KVBB 19.33 </v>
      </c>
      <c r="B23" s="4" t="str">
        <f t="shared" si="1"/>
        <v>I</v>
      </c>
      <c r="C23" s="38">
        <f t="shared" si="2"/>
        <v>25834.403999999999</v>
      </c>
      <c r="D23" s="11" t="str">
        <f t="shared" si="3"/>
        <v>vis</v>
      </c>
      <c r="E23" s="46">
        <f>VLOOKUP(C23,Active!C$21:E$973,3,FALSE)</f>
        <v>174.02268732795642</v>
      </c>
      <c r="F23" s="4" t="s">
        <v>59</v>
      </c>
      <c r="G23" s="11" t="str">
        <f t="shared" si="4"/>
        <v>25834.404</v>
      </c>
      <c r="H23" s="38">
        <f t="shared" si="5"/>
        <v>174</v>
      </c>
      <c r="I23" s="47" t="s">
        <v>76</v>
      </c>
      <c r="J23" s="48" t="s">
        <v>77</v>
      </c>
      <c r="K23" s="47">
        <v>174</v>
      </c>
      <c r="L23" s="47" t="s">
        <v>78</v>
      </c>
      <c r="M23" s="48" t="s">
        <v>65</v>
      </c>
      <c r="N23" s="48"/>
      <c r="O23" s="49" t="s">
        <v>66</v>
      </c>
      <c r="P23" s="49" t="s">
        <v>67</v>
      </c>
    </row>
    <row r="24" spans="1:16" ht="12.75" customHeight="1" thickBot="1" x14ac:dyDescent="0.25">
      <c r="A24" s="38" t="str">
        <f t="shared" si="0"/>
        <v> VSS 7.84 </v>
      </c>
      <c r="B24" s="4" t="str">
        <f t="shared" si="1"/>
        <v>I</v>
      </c>
      <c r="C24" s="38">
        <f t="shared" si="2"/>
        <v>25854.38</v>
      </c>
      <c r="D24" s="11" t="str">
        <f t="shared" si="3"/>
        <v>vis</v>
      </c>
      <c r="E24" s="46">
        <f>VLOOKUP(C24,Active!C$21:E$973,3,FALSE)</f>
        <v>182.96087885654217</v>
      </c>
      <c r="F24" s="4" t="s">
        <v>59</v>
      </c>
      <c r="G24" s="11" t="str">
        <f t="shared" si="4"/>
        <v>25854.38</v>
      </c>
      <c r="H24" s="38">
        <f t="shared" si="5"/>
        <v>183</v>
      </c>
      <c r="I24" s="47" t="s">
        <v>79</v>
      </c>
      <c r="J24" s="48" t="s">
        <v>80</v>
      </c>
      <c r="K24" s="47">
        <v>183</v>
      </c>
      <c r="L24" s="47" t="s">
        <v>81</v>
      </c>
      <c r="M24" s="48" t="s">
        <v>65</v>
      </c>
      <c r="N24" s="48"/>
      <c r="O24" s="49" t="s">
        <v>71</v>
      </c>
      <c r="P24" s="49" t="s">
        <v>72</v>
      </c>
    </row>
    <row r="25" spans="1:16" ht="12.75" customHeight="1" thickBot="1" x14ac:dyDescent="0.25">
      <c r="A25" s="38" t="str">
        <f t="shared" si="0"/>
        <v> KVBB 19.33 </v>
      </c>
      <c r="B25" s="4" t="str">
        <f t="shared" si="1"/>
        <v>I</v>
      </c>
      <c r="C25" s="38">
        <f t="shared" si="2"/>
        <v>25863.348999999998</v>
      </c>
      <c r="D25" s="11" t="str">
        <f t="shared" si="3"/>
        <v>vis</v>
      </c>
      <c r="E25" s="46">
        <f>VLOOKUP(C25,Active!C$21:E$973,3,FALSE)</f>
        <v>186.97402662485675</v>
      </c>
      <c r="F25" s="4" t="s">
        <v>59</v>
      </c>
      <c r="G25" s="11" t="str">
        <f t="shared" si="4"/>
        <v>25863.349</v>
      </c>
      <c r="H25" s="38">
        <f t="shared" si="5"/>
        <v>187</v>
      </c>
      <c r="I25" s="47" t="s">
        <v>82</v>
      </c>
      <c r="J25" s="48" t="s">
        <v>83</v>
      </c>
      <c r="K25" s="47">
        <v>187</v>
      </c>
      <c r="L25" s="47" t="s">
        <v>84</v>
      </c>
      <c r="M25" s="48" t="s">
        <v>65</v>
      </c>
      <c r="N25" s="48"/>
      <c r="O25" s="49" t="s">
        <v>66</v>
      </c>
      <c r="P25" s="49" t="s">
        <v>67</v>
      </c>
    </row>
    <row r="26" spans="1:16" ht="12.75" customHeight="1" thickBot="1" x14ac:dyDescent="0.25">
      <c r="A26" s="38" t="str">
        <f t="shared" si="0"/>
        <v> KVBB 19.33 </v>
      </c>
      <c r="B26" s="4" t="str">
        <f t="shared" si="1"/>
        <v>I</v>
      </c>
      <c r="C26" s="38">
        <f t="shared" si="2"/>
        <v>26149.473999999998</v>
      </c>
      <c r="D26" s="11" t="str">
        <f t="shared" si="3"/>
        <v>vis</v>
      </c>
      <c r="E26" s="46">
        <f>VLOOKUP(C26,Active!C$21:E$973,3,FALSE)</f>
        <v>314.99965994065019</v>
      </c>
      <c r="F26" s="4" t="s">
        <v>59</v>
      </c>
      <c r="G26" s="11" t="str">
        <f t="shared" si="4"/>
        <v>26149.474</v>
      </c>
      <c r="H26" s="38">
        <f t="shared" si="5"/>
        <v>315</v>
      </c>
      <c r="I26" s="47" t="s">
        <v>85</v>
      </c>
      <c r="J26" s="48" t="s">
        <v>86</v>
      </c>
      <c r="K26" s="47">
        <v>315</v>
      </c>
      <c r="L26" s="47" t="s">
        <v>87</v>
      </c>
      <c r="M26" s="48" t="s">
        <v>65</v>
      </c>
      <c r="N26" s="48"/>
      <c r="O26" s="49" t="s">
        <v>66</v>
      </c>
      <c r="P26" s="49" t="s">
        <v>67</v>
      </c>
    </row>
    <row r="27" spans="1:16" ht="12.75" customHeight="1" thickBot="1" x14ac:dyDescent="0.25">
      <c r="A27" s="38" t="str">
        <f t="shared" si="0"/>
        <v> VSS 7.84 </v>
      </c>
      <c r="B27" s="4" t="str">
        <f t="shared" si="1"/>
        <v>I</v>
      </c>
      <c r="C27" s="38">
        <f t="shared" si="2"/>
        <v>26178.44</v>
      </c>
      <c r="D27" s="11" t="str">
        <f t="shared" si="3"/>
        <v>vis</v>
      </c>
      <c r="E27" s="46">
        <f>VLOOKUP(C27,Active!C$21:E$973,3,FALSE)</f>
        <v>327.96039561430791</v>
      </c>
      <c r="F27" s="4" t="s">
        <v>59</v>
      </c>
      <c r="G27" s="11" t="str">
        <f t="shared" si="4"/>
        <v>26178.44</v>
      </c>
      <c r="H27" s="38">
        <f t="shared" si="5"/>
        <v>328</v>
      </c>
      <c r="I27" s="47" t="s">
        <v>88</v>
      </c>
      <c r="J27" s="48" t="s">
        <v>89</v>
      </c>
      <c r="K27" s="47">
        <v>328</v>
      </c>
      <c r="L27" s="47" t="s">
        <v>81</v>
      </c>
      <c r="M27" s="48" t="s">
        <v>65</v>
      </c>
      <c r="N27" s="48"/>
      <c r="O27" s="49" t="s">
        <v>71</v>
      </c>
      <c r="P27" s="49" t="s">
        <v>72</v>
      </c>
    </row>
    <row r="28" spans="1:16" ht="12.75" customHeight="1" thickBot="1" x14ac:dyDescent="0.25">
      <c r="A28" s="38" t="str">
        <f t="shared" si="0"/>
        <v> VSS 7.84 </v>
      </c>
      <c r="B28" s="4" t="str">
        <f t="shared" si="1"/>
        <v>I</v>
      </c>
      <c r="C28" s="38">
        <f t="shared" si="2"/>
        <v>31370.29</v>
      </c>
      <c r="D28" s="11" t="str">
        <f t="shared" si="3"/>
        <v>vis</v>
      </c>
      <c r="E28" s="46">
        <f>VLOOKUP(C28,Active!C$21:E$973,3,FALSE)</f>
        <v>2651.0355702079382</v>
      </c>
      <c r="F28" s="4" t="s">
        <v>59</v>
      </c>
      <c r="G28" s="11" t="str">
        <f t="shared" si="4"/>
        <v>31370.29</v>
      </c>
      <c r="H28" s="38">
        <f t="shared" si="5"/>
        <v>2651</v>
      </c>
      <c r="I28" s="47" t="s">
        <v>90</v>
      </c>
      <c r="J28" s="48" t="s">
        <v>91</v>
      </c>
      <c r="K28" s="47">
        <v>2651</v>
      </c>
      <c r="L28" s="47" t="s">
        <v>92</v>
      </c>
      <c r="M28" s="48" t="s">
        <v>65</v>
      </c>
      <c r="N28" s="48"/>
      <c r="O28" s="49" t="s">
        <v>71</v>
      </c>
      <c r="P28" s="49" t="s">
        <v>72</v>
      </c>
    </row>
    <row r="29" spans="1:16" ht="12.75" customHeight="1" thickBot="1" x14ac:dyDescent="0.25">
      <c r="A29" s="38" t="str">
        <f t="shared" si="0"/>
        <v> VSS 7.84 </v>
      </c>
      <c r="B29" s="4" t="str">
        <f t="shared" si="1"/>
        <v>I</v>
      </c>
      <c r="C29" s="38">
        <f t="shared" si="2"/>
        <v>36461.339999999997</v>
      </c>
      <c r="D29" s="11" t="str">
        <f t="shared" si="3"/>
        <v>vis</v>
      </c>
      <c r="E29" s="46">
        <f>VLOOKUP(C29,Active!C$21:E$973,3,FALSE)</f>
        <v>4929.008136367378</v>
      </c>
      <c r="F29" s="4" t="s">
        <v>59</v>
      </c>
      <c r="G29" s="11" t="str">
        <f t="shared" si="4"/>
        <v>36461.34</v>
      </c>
      <c r="H29" s="38">
        <f t="shared" si="5"/>
        <v>4929</v>
      </c>
      <c r="I29" s="47" t="s">
        <v>93</v>
      </c>
      <c r="J29" s="48" t="s">
        <v>94</v>
      </c>
      <c r="K29" s="47">
        <v>4929</v>
      </c>
      <c r="L29" s="47" t="s">
        <v>95</v>
      </c>
      <c r="M29" s="48" t="s">
        <v>65</v>
      </c>
      <c r="N29" s="48"/>
      <c r="O29" s="49" t="s">
        <v>71</v>
      </c>
      <c r="P29" s="49" t="s">
        <v>72</v>
      </c>
    </row>
    <row r="30" spans="1:16" ht="12.75" customHeight="1" thickBot="1" x14ac:dyDescent="0.25">
      <c r="A30" s="38" t="str">
        <f t="shared" si="0"/>
        <v> VSS 7.84 </v>
      </c>
      <c r="B30" s="4" t="str">
        <f t="shared" si="1"/>
        <v>I</v>
      </c>
      <c r="C30" s="38">
        <f t="shared" si="2"/>
        <v>37556.39</v>
      </c>
      <c r="D30" s="11" t="str">
        <f t="shared" si="3"/>
        <v>vis</v>
      </c>
      <c r="E30" s="46">
        <f>VLOOKUP(C30,Active!C$21:E$973,3,FALSE)</f>
        <v>5418.9844396000908</v>
      </c>
      <c r="F30" s="4" t="s">
        <v>59</v>
      </c>
      <c r="G30" s="11" t="str">
        <f t="shared" si="4"/>
        <v>37556.39</v>
      </c>
      <c r="H30" s="38">
        <f t="shared" si="5"/>
        <v>5419</v>
      </c>
      <c r="I30" s="47" t="s">
        <v>96</v>
      </c>
      <c r="J30" s="48" t="s">
        <v>97</v>
      </c>
      <c r="K30" s="47">
        <v>5419</v>
      </c>
      <c r="L30" s="47" t="s">
        <v>98</v>
      </c>
      <c r="M30" s="48" t="s">
        <v>65</v>
      </c>
      <c r="N30" s="48"/>
      <c r="O30" s="49" t="s">
        <v>71</v>
      </c>
      <c r="P30" s="49" t="s">
        <v>72</v>
      </c>
    </row>
    <row r="31" spans="1:16" ht="12.75" customHeight="1" thickBot="1" x14ac:dyDescent="0.25">
      <c r="A31" s="38" t="str">
        <f t="shared" si="0"/>
        <v> VSS 7.84 </v>
      </c>
      <c r="B31" s="4" t="str">
        <f t="shared" si="1"/>
        <v>I</v>
      </c>
      <c r="C31" s="38">
        <f t="shared" si="2"/>
        <v>37583.33</v>
      </c>
      <c r="D31" s="11" t="str">
        <f t="shared" si="3"/>
        <v>vis</v>
      </c>
      <c r="E31" s="46">
        <f>VLOOKUP(C31,Active!C$21:E$973,3,FALSE)</f>
        <v>5431.0386486399429</v>
      </c>
      <c r="F31" s="4" t="s">
        <v>59</v>
      </c>
      <c r="G31" s="11" t="str">
        <f t="shared" si="4"/>
        <v>37583.33</v>
      </c>
      <c r="H31" s="38">
        <f t="shared" si="5"/>
        <v>5431</v>
      </c>
      <c r="I31" s="47" t="s">
        <v>99</v>
      </c>
      <c r="J31" s="48" t="s">
        <v>100</v>
      </c>
      <c r="K31" s="47">
        <v>5431</v>
      </c>
      <c r="L31" s="47" t="s">
        <v>101</v>
      </c>
      <c r="M31" s="48" t="s">
        <v>65</v>
      </c>
      <c r="N31" s="48"/>
      <c r="O31" s="49" t="s">
        <v>71</v>
      </c>
      <c r="P31" s="49" t="s">
        <v>72</v>
      </c>
    </row>
    <row r="32" spans="1:16" ht="12.75" customHeight="1" thickBot="1" x14ac:dyDescent="0.25">
      <c r="A32" s="38" t="str">
        <f t="shared" si="0"/>
        <v> VSS 7.84 </v>
      </c>
      <c r="B32" s="4" t="str">
        <f t="shared" si="1"/>
        <v>I</v>
      </c>
      <c r="C32" s="38">
        <f t="shared" si="2"/>
        <v>37842.49</v>
      </c>
      <c r="D32" s="11" t="str">
        <f t="shared" si="3"/>
        <v>vis</v>
      </c>
      <c r="E32" s="46">
        <f>VLOOKUP(C32,Active!C$21:E$973,3,FALSE)</f>
        <v>5546.9988867530774</v>
      </c>
      <c r="F32" s="4" t="s">
        <v>59</v>
      </c>
      <c r="G32" s="11" t="str">
        <f t="shared" si="4"/>
        <v>37842.49</v>
      </c>
      <c r="H32" s="38">
        <f t="shared" si="5"/>
        <v>5547</v>
      </c>
      <c r="I32" s="47" t="s">
        <v>102</v>
      </c>
      <c r="J32" s="48" t="s">
        <v>103</v>
      </c>
      <c r="K32" s="47">
        <v>5547</v>
      </c>
      <c r="L32" s="47" t="s">
        <v>104</v>
      </c>
      <c r="M32" s="48" t="s">
        <v>65</v>
      </c>
      <c r="N32" s="48"/>
      <c r="O32" s="49" t="s">
        <v>71</v>
      </c>
      <c r="P32" s="49" t="s">
        <v>72</v>
      </c>
    </row>
    <row r="33" spans="1:16" ht="12.75" customHeight="1" thickBot="1" x14ac:dyDescent="0.25">
      <c r="A33" s="38" t="str">
        <f t="shared" si="0"/>
        <v> VSS 7.84 </v>
      </c>
      <c r="B33" s="4" t="str">
        <f t="shared" si="1"/>
        <v>I</v>
      </c>
      <c r="C33" s="38">
        <f t="shared" si="2"/>
        <v>37851.440000000002</v>
      </c>
      <c r="D33" s="11" t="str">
        <f t="shared" si="3"/>
        <v>vis</v>
      </c>
      <c r="E33" s="46">
        <f>VLOOKUP(C33,Active!C$21:E$973,3,FALSE)</f>
        <v>5551.0035330376622</v>
      </c>
      <c r="F33" s="4" t="s">
        <v>59</v>
      </c>
      <c r="G33" s="11" t="str">
        <f t="shared" si="4"/>
        <v>37851.44</v>
      </c>
      <c r="H33" s="38">
        <f t="shared" si="5"/>
        <v>5551</v>
      </c>
      <c r="I33" s="47" t="s">
        <v>105</v>
      </c>
      <c r="J33" s="48" t="s">
        <v>106</v>
      </c>
      <c r="K33" s="47">
        <v>5551</v>
      </c>
      <c r="L33" s="47" t="s">
        <v>70</v>
      </c>
      <c r="M33" s="48" t="s">
        <v>65</v>
      </c>
      <c r="N33" s="48"/>
      <c r="O33" s="49" t="s">
        <v>71</v>
      </c>
      <c r="P33" s="49" t="s">
        <v>72</v>
      </c>
    </row>
    <row r="34" spans="1:16" ht="12.75" customHeight="1" thickBot="1" x14ac:dyDescent="0.25">
      <c r="A34" s="38" t="str">
        <f t="shared" si="0"/>
        <v> VSS 7.84 </v>
      </c>
      <c r="B34" s="4" t="str">
        <f t="shared" si="1"/>
        <v>I</v>
      </c>
      <c r="C34" s="38">
        <f t="shared" si="2"/>
        <v>37871.550000000003</v>
      </c>
      <c r="D34" s="11" t="str">
        <f t="shared" si="3"/>
        <v>vis</v>
      </c>
      <c r="E34" s="46">
        <f>VLOOKUP(C34,Active!C$21:E$973,3,FALSE)</f>
        <v>5560.0016823988881</v>
      </c>
      <c r="F34" s="4" t="s">
        <v>59</v>
      </c>
      <c r="G34" s="11" t="str">
        <f t="shared" si="4"/>
        <v>37871.55</v>
      </c>
      <c r="H34" s="38">
        <f t="shared" si="5"/>
        <v>5560</v>
      </c>
      <c r="I34" s="47" t="s">
        <v>107</v>
      </c>
      <c r="J34" s="48" t="s">
        <v>108</v>
      </c>
      <c r="K34" s="47">
        <v>5560</v>
      </c>
      <c r="L34" s="47" t="s">
        <v>109</v>
      </c>
      <c r="M34" s="48" t="s">
        <v>65</v>
      </c>
      <c r="N34" s="48"/>
      <c r="O34" s="49" t="s">
        <v>71</v>
      </c>
      <c r="P34" s="49" t="s">
        <v>72</v>
      </c>
    </row>
    <row r="35" spans="1:16" ht="12.75" customHeight="1" thickBot="1" x14ac:dyDescent="0.25">
      <c r="A35" s="38" t="str">
        <f t="shared" si="0"/>
        <v> VSS 7.84 </v>
      </c>
      <c r="B35" s="4" t="str">
        <f t="shared" si="1"/>
        <v>I</v>
      </c>
      <c r="C35" s="38">
        <f t="shared" si="2"/>
        <v>37898.379999999997</v>
      </c>
      <c r="D35" s="11" t="str">
        <f t="shared" si="3"/>
        <v>vis</v>
      </c>
      <c r="E35" s="46">
        <f>VLOOKUP(C35,Active!C$21:E$973,3,FALSE)</f>
        <v>5572.0066723223899</v>
      </c>
      <c r="F35" s="4" t="s">
        <v>59</v>
      </c>
      <c r="G35" s="11" t="str">
        <f t="shared" si="4"/>
        <v>37898.38</v>
      </c>
      <c r="H35" s="38">
        <f t="shared" si="5"/>
        <v>5572</v>
      </c>
      <c r="I35" s="47" t="s">
        <v>110</v>
      </c>
      <c r="J35" s="48" t="s">
        <v>111</v>
      </c>
      <c r="K35" s="47">
        <v>5572</v>
      </c>
      <c r="L35" s="47" t="s">
        <v>70</v>
      </c>
      <c r="M35" s="48" t="s">
        <v>65</v>
      </c>
      <c r="N35" s="48"/>
      <c r="O35" s="49" t="s">
        <v>71</v>
      </c>
      <c r="P35" s="49" t="s">
        <v>72</v>
      </c>
    </row>
    <row r="36" spans="1:16" ht="12.75" customHeight="1" thickBot="1" x14ac:dyDescent="0.25">
      <c r="A36" s="38" t="str">
        <f t="shared" si="0"/>
        <v> VSS 7.84 </v>
      </c>
      <c r="B36" s="4" t="str">
        <f t="shared" si="1"/>
        <v>I</v>
      </c>
      <c r="C36" s="38">
        <f t="shared" si="2"/>
        <v>37907.33</v>
      </c>
      <c r="D36" s="11" t="str">
        <f t="shared" si="3"/>
        <v>vis</v>
      </c>
      <c r="E36" s="46">
        <f>VLOOKUP(C36,Active!C$21:E$973,3,FALSE)</f>
        <v>5576.0113186069757</v>
      </c>
      <c r="F36" s="4" t="s">
        <v>59</v>
      </c>
      <c r="G36" s="11" t="str">
        <f t="shared" si="4"/>
        <v>37907.33</v>
      </c>
      <c r="H36" s="38">
        <f t="shared" si="5"/>
        <v>5576</v>
      </c>
      <c r="I36" s="47" t="s">
        <v>112</v>
      </c>
      <c r="J36" s="48" t="s">
        <v>113</v>
      </c>
      <c r="K36" s="47">
        <v>5576</v>
      </c>
      <c r="L36" s="47" t="s">
        <v>114</v>
      </c>
      <c r="M36" s="48" t="s">
        <v>65</v>
      </c>
      <c r="N36" s="48"/>
      <c r="O36" s="49" t="s">
        <v>71</v>
      </c>
      <c r="P36" s="49" t="s">
        <v>72</v>
      </c>
    </row>
    <row r="37" spans="1:16" ht="12.75" customHeight="1" thickBot="1" x14ac:dyDescent="0.25">
      <c r="A37" s="38" t="str">
        <f t="shared" si="0"/>
        <v> VSS 7.84 </v>
      </c>
      <c r="B37" s="4" t="str">
        <f t="shared" si="1"/>
        <v>I</v>
      </c>
      <c r="C37" s="38">
        <f t="shared" si="2"/>
        <v>37936.33</v>
      </c>
      <c r="D37" s="11" t="str">
        <f t="shared" si="3"/>
        <v>vis</v>
      </c>
      <c r="E37" s="46">
        <f>VLOOKUP(C37,Active!C$21:E$973,3,FALSE)</f>
        <v>5588.9872674620492</v>
      </c>
      <c r="F37" s="4" t="s">
        <v>59</v>
      </c>
      <c r="G37" s="11" t="str">
        <f t="shared" si="4"/>
        <v>37936.33</v>
      </c>
      <c r="H37" s="38">
        <f t="shared" si="5"/>
        <v>5589</v>
      </c>
      <c r="I37" s="47" t="s">
        <v>115</v>
      </c>
      <c r="J37" s="48" t="s">
        <v>116</v>
      </c>
      <c r="K37" s="47">
        <v>5589</v>
      </c>
      <c r="L37" s="47" t="s">
        <v>98</v>
      </c>
      <c r="M37" s="48" t="s">
        <v>65</v>
      </c>
      <c r="N37" s="48"/>
      <c r="O37" s="49" t="s">
        <v>71</v>
      </c>
      <c r="P37" s="49" t="s">
        <v>72</v>
      </c>
    </row>
    <row r="38" spans="1:16" ht="12.75" customHeight="1" thickBot="1" x14ac:dyDescent="0.25">
      <c r="A38" s="38" t="str">
        <f t="shared" si="0"/>
        <v>BAVM 236 </v>
      </c>
      <c r="B38" s="4" t="str">
        <f t="shared" si="1"/>
        <v>I</v>
      </c>
      <c r="C38" s="38">
        <f t="shared" si="2"/>
        <v>38584.523999999998</v>
      </c>
      <c r="D38" s="11" t="str">
        <f t="shared" si="3"/>
        <v>vis</v>
      </c>
      <c r="E38" s="46">
        <f>VLOOKUP(C38,Active!C$21:E$973,3,FALSE)</f>
        <v>5879.0194120194865</v>
      </c>
      <c r="F38" s="4" t="s">
        <v>59</v>
      </c>
      <c r="G38" s="11" t="str">
        <f t="shared" si="4"/>
        <v>38584.524</v>
      </c>
      <c r="H38" s="38">
        <f t="shared" si="5"/>
        <v>5879</v>
      </c>
      <c r="I38" s="47" t="s">
        <v>117</v>
      </c>
      <c r="J38" s="48" t="s">
        <v>118</v>
      </c>
      <c r="K38" s="47">
        <v>5879</v>
      </c>
      <c r="L38" s="47" t="s">
        <v>119</v>
      </c>
      <c r="M38" s="48" t="s">
        <v>61</v>
      </c>
      <c r="N38" s="48"/>
      <c r="O38" s="49" t="s">
        <v>120</v>
      </c>
      <c r="P38" s="50" t="s">
        <v>121</v>
      </c>
    </row>
    <row r="39" spans="1:16" ht="12.75" customHeight="1" thickBot="1" x14ac:dyDescent="0.25">
      <c r="A39" s="38" t="str">
        <f t="shared" si="0"/>
        <v>BAVM 236 </v>
      </c>
      <c r="B39" s="4" t="str">
        <f t="shared" si="1"/>
        <v>I</v>
      </c>
      <c r="C39" s="38">
        <f t="shared" si="2"/>
        <v>38640.373</v>
      </c>
      <c r="D39" s="11" t="str">
        <f t="shared" si="3"/>
        <v>vis</v>
      </c>
      <c r="E39" s="46">
        <f>VLOOKUP(C39,Active!C$21:E$973,3,FALSE)</f>
        <v>5904.0088522817987</v>
      </c>
      <c r="F39" s="4" t="s">
        <v>59</v>
      </c>
      <c r="G39" s="11" t="str">
        <f t="shared" si="4"/>
        <v>38640.373</v>
      </c>
      <c r="H39" s="38">
        <f t="shared" si="5"/>
        <v>5904</v>
      </c>
      <c r="I39" s="47" t="s">
        <v>122</v>
      </c>
      <c r="J39" s="48" t="s">
        <v>123</v>
      </c>
      <c r="K39" s="47">
        <v>5904</v>
      </c>
      <c r="L39" s="47" t="s">
        <v>124</v>
      </c>
      <c r="M39" s="48" t="s">
        <v>61</v>
      </c>
      <c r="N39" s="48"/>
      <c r="O39" s="49" t="s">
        <v>120</v>
      </c>
      <c r="P39" s="50" t="s">
        <v>121</v>
      </c>
    </row>
    <row r="40" spans="1:16" ht="12.75" customHeight="1" thickBot="1" x14ac:dyDescent="0.25">
      <c r="A40" s="38" t="str">
        <f t="shared" si="0"/>
        <v>BAVM 236 </v>
      </c>
      <c r="B40" s="4" t="str">
        <f t="shared" si="1"/>
        <v>I</v>
      </c>
      <c r="C40" s="38">
        <f t="shared" si="2"/>
        <v>40030.483999999997</v>
      </c>
      <c r="D40" s="11" t="str">
        <f t="shared" si="3"/>
        <v>vis</v>
      </c>
      <c r="E40" s="46">
        <f>VLOOKUP(C40,Active!C$21:E$973,3,FALSE)</f>
        <v>6526.0091708637146</v>
      </c>
      <c r="F40" s="4" t="s">
        <v>59</v>
      </c>
      <c r="G40" s="11" t="str">
        <f t="shared" si="4"/>
        <v>40030.484</v>
      </c>
      <c r="H40" s="38">
        <f t="shared" si="5"/>
        <v>6526</v>
      </c>
      <c r="I40" s="47" t="s">
        <v>125</v>
      </c>
      <c r="J40" s="48" t="s">
        <v>126</v>
      </c>
      <c r="K40" s="47">
        <v>6526</v>
      </c>
      <c r="L40" s="47" t="s">
        <v>124</v>
      </c>
      <c r="M40" s="48" t="s">
        <v>61</v>
      </c>
      <c r="N40" s="48"/>
      <c r="O40" s="49" t="s">
        <v>120</v>
      </c>
      <c r="P40" s="50" t="s">
        <v>121</v>
      </c>
    </row>
    <row r="41" spans="1:16" ht="12.75" customHeight="1" thickBot="1" x14ac:dyDescent="0.25">
      <c r="A41" s="38" t="str">
        <f t="shared" si="0"/>
        <v>BAVM 236 </v>
      </c>
      <c r="B41" s="4" t="str">
        <f t="shared" si="1"/>
        <v>I</v>
      </c>
      <c r="C41" s="38">
        <f t="shared" si="2"/>
        <v>45492.514000000003</v>
      </c>
      <c r="D41" s="11" t="str">
        <f t="shared" si="3"/>
        <v>vis</v>
      </c>
      <c r="E41" s="46">
        <f>VLOOKUP(C41,Active!C$21:E$973,3,FALSE)</f>
        <v>8969.9754441354107</v>
      </c>
      <c r="F41" s="4" t="s">
        <v>59</v>
      </c>
      <c r="G41" s="11" t="str">
        <f t="shared" si="4"/>
        <v>45492.514</v>
      </c>
      <c r="H41" s="38">
        <f t="shared" si="5"/>
        <v>8970</v>
      </c>
      <c r="I41" s="47" t="s">
        <v>127</v>
      </c>
      <c r="J41" s="48" t="s">
        <v>128</v>
      </c>
      <c r="K41" s="47">
        <v>8970</v>
      </c>
      <c r="L41" s="47" t="s">
        <v>129</v>
      </c>
      <c r="M41" s="48" t="s">
        <v>61</v>
      </c>
      <c r="N41" s="48"/>
      <c r="O41" s="49" t="s">
        <v>120</v>
      </c>
      <c r="P41" s="50" t="s">
        <v>121</v>
      </c>
    </row>
    <row r="42" spans="1:16" ht="12.75" customHeight="1" thickBot="1" x14ac:dyDescent="0.25">
      <c r="A42" s="38" t="str">
        <f t="shared" si="0"/>
        <v>BAVM 236 </v>
      </c>
      <c r="B42" s="4" t="str">
        <f t="shared" si="1"/>
        <v>I</v>
      </c>
      <c r="C42" s="38">
        <f t="shared" si="2"/>
        <v>45854.533000000003</v>
      </c>
      <c r="D42" s="11" t="str">
        <f t="shared" si="3"/>
        <v>vis</v>
      </c>
      <c r="E42" s="46">
        <f>VLOOKUP(C42,Active!C$21:E$973,3,FALSE)</f>
        <v>9131.9595830514445</v>
      </c>
      <c r="F42" s="4" t="s">
        <v>59</v>
      </c>
      <c r="G42" s="11" t="str">
        <f t="shared" si="4"/>
        <v>45854.533</v>
      </c>
      <c r="H42" s="38">
        <f t="shared" si="5"/>
        <v>9132</v>
      </c>
      <c r="I42" s="47" t="s">
        <v>130</v>
      </c>
      <c r="J42" s="48" t="s">
        <v>131</v>
      </c>
      <c r="K42" s="47">
        <v>9132</v>
      </c>
      <c r="L42" s="47" t="s">
        <v>132</v>
      </c>
      <c r="M42" s="48" t="s">
        <v>61</v>
      </c>
      <c r="N42" s="48"/>
      <c r="O42" s="49" t="s">
        <v>120</v>
      </c>
      <c r="P42" s="50" t="s">
        <v>121</v>
      </c>
    </row>
    <row r="43" spans="1:16" ht="12.75" customHeight="1" thickBot="1" x14ac:dyDescent="0.25">
      <c r="A43" s="38" t="str">
        <f t="shared" si="0"/>
        <v>BAVM 236 </v>
      </c>
      <c r="B43" s="4" t="str">
        <f t="shared" si="1"/>
        <v>I</v>
      </c>
      <c r="C43" s="38">
        <f t="shared" si="2"/>
        <v>46976.457999999999</v>
      </c>
      <c r="D43" s="11" t="str">
        <f t="shared" si="3"/>
        <v>vis</v>
      </c>
      <c r="E43" s="46">
        <f>VLOOKUP(C43,Active!C$21:E$973,3,FALSE)</f>
        <v>9633.9610113007093</v>
      </c>
      <c r="F43" s="4" t="s">
        <v>59</v>
      </c>
      <c r="G43" s="11" t="str">
        <f t="shared" si="4"/>
        <v>46976.458</v>
      </c>
      <c r="H43" s="38">
        <f t="shared" si="5"/>
        <v>9634</v>
      </c>
      <c r="I43" s="47" t="s">
        <v>133</v>
      </c>
      <c r="J43" s="48" t="s">
        <v>134</v>
      </c>
      <c r="K43" s="47">
        <v>9634</v>
      </c>
      <c r="L43" s="47" t="s">
        <v>135</v>
      </c>
      <c r="M43" s="48" t="s">
        <v>61</v>
      </c>
      <c r="N43" s="48"/>
      <c r="O43" s="49" t="s">
        <v>120</v>
      </c>
      <c r="P43" s="50" t="s">
        <v>121</v>
      </c>
    </row>
    <row r="44" spans="1:16" ht="12.75" customHeight="1" thickBot="1" x14ac:dyDescent="0.25">
      <c r="A44" s="38" t="str">
        <f t="shared" si="0"/>
        <v>BAVM 236 </v>
      </c>
      <c r="B44" s="4" t="str">
        <f t="shared" si="1"/>
        <v>I</v>
      </c>
      <c r="C44" s="38">
        <f t="shared" si="2"/>
        <v>48098.457999999999</v>
      </c>
      <c r="D44" s="11" t="str">
        <f t="shared" si="3"/>
        <v>vis</v>
      </c>
      <c r="E44" s="46">
        <f>VLOOKUP(C44,Active!C$21:E$973,3,FALSE)</f>
        <v>10135.995998038396</v>
      </c>
      <c r="F44" s="4" t="s">
        <v>59</v>
      </c>
      <c r="G44" s="11" t="str">
        <f t="shared" si="4"/>
        <v>48098.458</v>
      </c>
      <c r="H44" s="38">
        <f t="shared" si="5"/>
        <v>10136</v>
      </c>
      <c r="I44" s="47" t="s">
        <v>154</v>
      </c>
      <c r="J44" s="48" t="s">
        <v>155</v>
      </c>
      <c r="K44" s="47">
        <v>10136</v>
      </c>
      <c r="L44" s="47" t="s">
        <v>156</v>
      </c>
      <c r="M44" s="48" t="s">
        <v>61</v>
      </c>
      <c r="N44" s="48"/>
      <c r="O44" s="49" t="s">
        <v>120</v>
      </c>
      <c r="P44" s="50" t="s">
        <v>121</v>
      </c>
    </row>
    <row r="45" spans="1:16" ht="12.75" customHeight="1" thickBot="1" x14ac:dyDescent="0.25">
      <c r="A45" s="38" t="str">
        <f t="shared" si="0"/>
        <v>BAVM 236 </v>
      </c>
      <c r="B45" s="4" t="str">
        <f t="shared" si="1"/>
        <v>I</v>
      </c>
      <c r="C45" s="38">
        <f t="shared" si="2"/>
        <v>48887.38</v>
      </c>
      <c r="D45" s="11" t="str">
        <f t="shared" si="3"/>
        <v>vis</v>
      </c>
      <c r="E45" s="46">
        <f>VLOOKUP(C45,Active!C$21:E$973,3,FALSE)</f>
        <v>10488.996395370898</v>
      </c>
      <c r="F45" s="4" t="s">
        <v>59</v>
      </c>
      <c r="G45" s="11" t="str">
        <f t="shared" si="4"/>
        <v>48887.38</v>
      </c>
      <c r="H45" s="38">
        <f t="shared" si="5"/>
        <v>10489</v>
      </c>
      <c r="I45" s="47" t="s">
        <v>157</v>
      </c>
      <c r="J45" s="48" t="s">
        <v>158</v>
      </c>
      <c r="K45" s="47">
        <v>10489</v>
      </c>
      <c r="L45" s="47" t="s">
        <v>159</v>
      </c>
      <c r="M45" s="48" t="s">
        <v>61</v>
      </c>
      <c r="N45" s="48"/>
      <c r="O45" s="49" t="s">
        <v>120</v>
      </c>
      <c r="P45" s="50" t="s">
        <v>121</v>
      </c>
    </row>
    <row r="46" spans="1:16" ht="12.75" customHeight="1" thickBot="1" x14ac:dyDescent="0.25">
      <c r="A46" s="38" t="str">
        <f t="shared" si="0"/>
        <v> BBS 123 </v>
      </c>
      <c r="B46" s="4" t="str">
        <f t="shared" si="1"/>
        <v>I</v>
      </c>
      <c r="C46" s="38">
        <f t="shared" si="2"/>
        <v>51781.51</v>
      </c>
      <c r="D46" s="11" t="str">
        <f t="shared" si="3"/>
        <v>vis</v>
      </c>
      <c r="E46" s="46">
        <f>VLOOKUP(C46,Active!C$21:E$973,3,FALSE)</f>
        <v>11783.964769851415</v>
      </c>
      <c r="F46" s="4" t="s">
        <v>59</v>
      </c>
      <c r="G46" s="11" t="str">
        <f t="shared" si="4"/>
        <v>51781.510</v>
      </c>
      <c r="H46" s="38">
        <f t="shared" si="5"/>
        <v>11784</v>
      </c>
      <c r="I46" s="47" t="s">
        <v>175</v>
      </c>
      <c r="J46" s="48" t="s">
        <v>176</v>
      </c>
      <c r="K46" s="47">
        <v>11784</v>
      </c>
      <c r="L46" s="47" t="s">
        <v>173</v>
      </c>
      <c r="M46" s="48" t="s">
        <v>139</v>
      </c>
      <c r="N46" s="48"/>
      <c r="O46" s="49" t="s">
        <v>140</v>
      </c>
      <c r="P46" s="49" t="s">
        <v>177</v>
      </c>
    </row>
    <row r="47" spans="1:16" ht="12.75" customHeight="1" thickBot="1" x14ac:dyDescent="0.25">
      <c r="A47" s="38" t="str">
        <f t="shared" si="0"/>
        <v>BAVM 225 </v>
      </c>
      <c r="B47" s="4" t="str">
        <f t="shared" si="1"/>
        <v>I</v>
      </c>
      <c r="C47" s="38">
        <f t="shared" si="2"/>
        <v>55795.4758</v>
      </c>
      <c r="D47" s="11" t="str">
        <f t="shared" si="3"/>
        <v>vis</v>
      </c>
      <c r="E47" s="46">
        <f>VLOOKUP(C47,Active!C$21:E$973,3,FALSE)</f>
        <v>13579.999767327816</v>
      </c>
      <c r="F47" s="4" t="s">
        <v>59</v>
      </c>
      <c r="G47" s="11" t="str">
        <f t="shared" si="4"/>
        <v>55795.4758</v>
      </c>
      <c r="H47" s="38">
        <f t="shared" si="5"/>
        <v>13580</v>
      </c>
      <c r="I47" s="47" t="s">
        <v>184</v>
      </c>
      <c r="J47" s="48" t="s">
        <v>185</v>
      </c>
      <c r="K47" s="47">
        <v>13580</v>
      </c>
      <c r="L47" s="47" t="s">
        <v>186</v>
      </c>
      <c r="M47" s="48" t="s">
        <v>187</v>
      </c>
      <c r="N47" s="48" t="s">
        <v>188</v>
      </c>
      <c r="O47" s="49" t="s">
        <v>182</v>
      </c>
      <c r="P47" s="50" t="s">
        <v>189</v>
      </c>
    </row>
    <row r="48" spans="1:16" x14ac:dyDescent="0.2">
      <c r="B48" s="4"/>
      <c r="E48" s="46"/>
      <c r="F48" s="4"/>
    </row>
    <row r="49" spans="2:6" x14ac:dyDescent="0.2">
      <c r="B49" s="4"/>
      <c r="E49" s="46"/>
      <c r="F49" s="4"/>
    </row>
    <row r="50" spans="2:6" x14ac:dyDescent="0.2">
      <c r="B50" s="4"/>
      <c r="E50" s="46"/>
      <c r="F50" s="4"/>
    </row>
    <row r="51" spans="2:6" x14ac:dyDescent="0.2">
      <c r="B51" s="4"/>
      <c r="E51" s="46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</sheetData>
  <phoneticPr fontId="7" type="noConversion"/>
  <hyperlinks>
    <hyperlink ref="A3" r:id="rId1"/>
    <hyperlink ref="P38" r:id="rId2" display="http://www.bav-astro.de/sfs/BAVM_link.php?BAVMnr=236"/>
    <hyperlink ref="P39" r:id="rId3" display="http://www.bav-astro.de/sfs/BAVM_link.php?BAVMnr=236"/>
    <hyperlink ref="P40" r:id="rId4" display="http://www.bav-astro.de/sfs/BAVM_link.php?BAVMnr=236"/>
    <hyperlink ref="P41" r:id="rId5" display="http://www.bav-astro.de/sfs/BAVM_link.php?BAVMnr=236"/>
    <hyperlink ref="P42" r:id="rId6" display="http://www.bav-astro.de/sfs/BAVM_link.php?BAVMnr=236"/>
    <hyperlink ref="P43" r:id="rId7" display="http://www.bav-astro.de/sfs/BAVM_link.php?BAVMnr=236"/>
    <hyperlink ref="P44" r:id="rId8" display="http://www.bav-astro.de/sfs/BAVM_link.php?BAVMnr=236"/>
    <hyperlink ref="P45" r:id="rId9" display="http://www.bav-astro.de/sfs/BAVM_link.php?BAVMnr=236"/>
    <hyperlink ref="P18" r:id="rId10" display="http://www.bav-astro.de/sfs/BAVM_link.php?BAVMnr=158"/>
    <hyperlink ref="P47" r:id="rId11" display="http://www.bav-astro.de/sfs/BAVM_link.php?BAVMnr=225"/>
    <hyperlink ref="P19" r:id="rId12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2024-01-11T03:29:13Z</dcterms:modified>
</cp:coreProperties>
</file>