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23A072B-860A-4FE2-8404-1D28E2C66A1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6" i="1" l="1"/>
  <c r="Q57" i="1"/>
  <c r="Q55" i="1"/>
  <c r="E49" i="1"/>
  <c r="F49" i="1"/>
  <c r="Q54" i="1"/>
  <c r="E51" i="1"/>
  <c r="F51" i="1"/>
  <c r="Q51" i="1"/>
  <c r="Q52" i="1"/>
  <c r="Q53" i="1"/>
  <c r="E22" i="1"/>
  <c r="F22" i="1"/>
  <c r="E31" i="1"/>
  <c r="F31" i="1"/>
  <c r="E39" i="1"/>
  <c r="F39" i="1"/>
  <c r="D9" i="1"/>
  <c r="C9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43" i="1"/>
  <c r="Q44" i="1"/>
  <c r="Q46" i="1"/>
  <c r="Q47" i="1"/>
  <c r="Q50" i="1"/>
  <c r="G23" i="2"/>
  <c r="C23" i="2"/>
  <c r="E23" i="2"/>
  <c r="G24" i="2"/>
  <c r="C24" i="2"/>
  <c r="G25" i="2"/>
  <c r="C25" i="2"/>
  <c r="G26" i="2"/>
  <c r="C26" i="2"/>
  <c r="G11" i="2"/>
  <c r="C11" i="2"/>
  <c r="G27" i="2"/>
  <c r="C27" i="2"/>
  <c r="G28" i="2"/>
  <c r="C28" i="2"/>
  <c r="G29" i="2"/>
  <c r="C29" i="2"/>
  <c r="G30" i="2"/>
  <c r="C30" i="2"/>
  <c r="G31" i="2"/>
  <c r="C31" i="2"/>
  <c r="E31" i="2"/>
  <c r="G32" i="2"/>
  <c r="C32" i="2"/>
  <c r="G33" i="2"/>
  <c r="C33" i="2"/>
  <c r="G34" i="2"/>
  <c r="C34" i="2"/>
  <c r="G35" i="2"/>
  <c r="C35" i="2"/>
  <c r="G12" i="2"/>
  <c r="C12" i="2"/>
  <c r="G13" i="2"/>
  <c r="C13" i="2"/>
  <c r="G14" i="2"/>
  <c r="C14" i="2"/>
  <c r="G15" i="2"/>
  <c r="C15" i="2"/>
  <c r="E15" i="2"/>
  <c r="G16" i="2"/>
  <c r="C16" i="2"/>
  <c r="G17" i="2"/>
  <c r="C17" i="2"/>
  <c r="G18" i="2"/>
  <c r="C18" i="2"/>
  <c r="G36" i="2"/>
  <c r="C36" i="2"/>
  <c r="G37" i="2"/>
  <c r="C37" i="2"/>
  <c r="G19" i="2"/>
  <c r="C19" i="2"/>
  <c r="G38" i="2"/>
  <c r="C38" i="2"/>
  <c r="G39" i="2"/>
  <c r="C39" i="2"/>
  <c r="G20" i="2"/>
  <c r="C20" i="2"/>
  <c r="G21" i="2"/>
  <c r="C21" i="2"/>
  <c r="E21" i="2"/>
  <c r="G40" i="2"/>
  <c r="C40" i="2"/>
  <c r="E40" i="2"/>
  <c r="G22" i="2"/>
  <c r="C22" i="2"/>
  <c r="H40" i="2"/>
  <c r="B40" i="2"/>
  <c r="D40" i="2"/>
  <c r="A40" i="2"/>
  <c r="H21" i="2"/>
  <c r="D21" i="2"/>
  <c r="B21" i="2"/>
  <c r="A21" i="2"/>
  <c r="H20" i="2"/>
  <c r="B20" i="2"/>
  <c r="D20" i="2"/>
  <c r="A20" i="2"/>
  <c r="H39" i="2"/>
  <c r="D39" i="2"/>
  <c r="B39" i="2"/>
  <c r="A39" i="2"/>
  <c r="H38" i="2"/>
  <c r="B38" i="2"/>
  <c r="D38" i="2"/>
  <c r="A38" i="2"/>
  <c r="H19" i="2"/>
  <c r="D19" i="2"/>
  <c r="B19" i="2"/>
  <c r="A19" i="2"/>
  <c r="H37" i="2"/>
  <c r="B37" i="2"/>
  <c r="D37" i="2"/>
  <c r="A37" i="2"/>
  <c r="H36" i="2"/>
  <c r="D36" i="2"/>
  <c r="B36" i="2"/>
  <c r="A36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11" i="2"/>
  <c r="B11" i="2"/>
  <c r="D11" i="2"/>
  <c r="A11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Q48" i="1"/>
  <c r="F16" i="1"/>
  <c r="F17" i="1" s="1"/>
  <c r="Q49" i="1"/>
  <c r="C7" i="1"/>
  <c r="E56" i="1"/>
  <c r="F56" i="1"/>
  <c r="C8" i="1"/>
  <c r="C17" i="1"/>
  <c r="Q45" i="1"/>
  <c r="Q42" i="1"/>
  <c r="Q41" i="1"/>
  <c r="Q40" i="1"/>
  <c r="Q39" i="1"/>
  <c r="Q38" i="1"/>
  <c r="Q36" i="1"/>
  <c r="Q37" i="1"/>
  <c r="Q26" i="1"/>
  <c r="E13" i="2"/>
  <c r="E20" i="2"/>
  <c r="E29" i="2"/>
  <c r="E22" i="2"/>
  <c r="E24" i="2"/>
  <c r="E19" i="2"/>
  <c r="E34" i="2"/>
  <c r="E37" i="2"/>
  <c r="E27" i="2"/>
  <c r="G39" i="1"/>
  <c r="J39" i="1"/>
  <c r="E37" i="1"/>
  <c r="F37" i="1"/>
  <c r="G31" i="1"/>
  <c r="I31" i="1"/>
  <c r="E29" i="1"/>
  <c r="F29" i="1"/>
  <c r="G22" i="1"/>
  <c r="I22" i="1"/>
  <c r="G51" i="1"/>
  <c r="K51" i="1"/>
  <c r="G49" i="1"/>
  <c r="J49" i="1"/>
  <c r="E47" i="1"/>
  <c r="F47" i="1"/>
  <c r="G47" i="1"/>
  <c r="K47" i="1"/>
  <c r="E26" i="1"/>
  <c r="F26" i="1"/>
  <c r="E34" i="1"/>
  <c r="F34" i="1"/>
  <c r="G28" i="1"/>
  <c r="I28" i="1"/>
  <c r="E25" i="1"/>
  <c r="E44" i="1"/>
  <c r="F44" i="1"/>
  <c r="G54" i="1"/>
  <c r="K54" i="1"/>
  <c r="E55" i="1"/>
  <c r="F55" i="1"/>
  <c r="E36" i="1"/>
  <c r="F36" i="1"/>
  <c r="G36" i="1"/>
  <c r="J36" i="1"/>
  <c r="E28" i="1"/>
  <c r="F28" i="1"/>
  <c r="E53" i="1"/>
  <c r="F53" i="1"/>
  <c r="G53" i="1"/>
  <c r="K53" i="1"/>
  <c r="E46" i="1"/>
  <c r="F46" i="1"/>
  <c r="G46" i="1"/>
  <c r="K46" i="1"/>
  <c r="E54" i="1"/>
  <c r="F54" i="1"/>
  <c r="E57" i="1"/>
  <c r="F57" i="1"/>
  <c r="G57" i="1"/>
  <c r="K57" i="1"/>
  <c r="E41" i="1"/>
  <c r="E33" i="1"/>
  <c r="G27" i="1"/>
  <c r="I27" i="1"/>
  <c r="E24" i="1"/>
  <c r="F24" i="1"/>
  <c r="G24" i="1"/>
  <c r="I24" i="1"/>
  <c r="E43" i="1"/>
  <c r="F43" i="1"/>
  <c r="G43" i="1"/>
  <c r="K43" i="1"/>
  <c r="E38" i="1"/>
  <c r="F38" i="1"/>
  <c r="G38" i="1"/>
  <c r="J38" i="1"/>
  <c r="E30" i="1"/>
  <c r="F30" i="1"/>
  <c r="G30" i="1"/>
  <c r="I30" i="1"/>
  <c r="E48" i="1"/>
  <c r="F48" i="1"/>
  <c r="G48" i="1"/>
  <c r="J48" i="1"/>
  <c r="G42" i="1"/>
  <c r="G56" i="1"/>
  <c r="K56" i="1"/>
  <c r="G37" i="1"/>
  <c r="J37" i="1"/>
  <c r="E35" i="1"/>
  <c r="F35" i="1"/>
  <c r="G35" i="1"/>
  <c r="K35" i="1"/>
  <c r="G29" i="1"/>
  <c r="I29" i="1"/>
  <c r="E27" i="1"/>
  <c r="F27" i="1"/>
  <c r="E21" i="1"/>
  <c r="F21" i="1"/>
  <c r="G21" i="1"/>
  <c r="I21" i="1"/>
  <c r="E52" i="1"/>
  <c r="F52" i="1"/>
  <c r="G52" i="1"/>
  <c r="K52" i="1"/>
  <c r="E45" i="1"/>
  <c r="F45" i="1"/>
  <c r="G45" i="1"/>
  <c r="J45" i="1"/>
  <c r="E40" i="1"/>
  <c r="F40" i="1"/>
  <c r="G40" i="1"/>
  <c r="K40" i="1"/>
  <c r="G34" i="1"/>
  <c r="I34" i="1"/>
  <c r="E32" i="1"/>
  <c r="F32" i="1"/>
  <c r="G32" i="1"/>
  <c r="I32" i="1"/>
  <c r="E23" i="1"/>
  <c r="F23" i="1"/>
  <c r="G23" i="1"/>
  <c r="I23" i="1"/>
  <c r="E50" i="1"/>
  <c r="F50" i="1"/>
  <c r="G50" i="1"/>
  <c r="K50" i="1"/>
  <c r="G44" i="1"/>
  <c r="K44" i="1"/>
  <c r="E42" i="1"/>
  <c r="F42" i="1"/>
  <c r="G55" i="1"/>
  <c r="K55" i="1"/>
  <c r="E26" i="2"/>
  <c r="F25" i="1"/>
  <c r="G25" i="1"/>
  <c r="I25" i="1"/>
  <c r="E25" i="2"/>
  <c r="E12" i="2"/>
  <c r="E16" i="2"/>
  <c r="E35" i="2"/>
  <c r="E11" i="2"/>
  <c r="E39" i="2"/>
  <c r="E32" i="2"/>
  <c r="J42" i="1"/>
  <c r="F33" i="1"/>
  <c r="G33" i="1"/>
  <c r="I33" i="1"/>
  <c r="E33" i="2"/>
  <c r="F41" i="1"/>
  <c r="G41" i="1"/>
  <c r="K41" i="1"/>
  <c r="E17" i="2"/>
  <c r="E28" i="2"/>
  <c r="E30" i="2"/>
  <c r="E36" i="2"/>
  <c r="E38" i="2"/>
  <c r="E18" i="2"/>
  <c r="E14" i="2"/>
  <c r="C12" i="1"/>
  <c r="C11" i="1"/>
  <c r="O46" i="1" l="1"/>
  <c r="O54" i="1"/>
  <c r="O39" i="1"/>
  <c r="O42" i="1"/>
  <c r="O50" i="1"/>
  <c r="O37" i="1"/>
  <c r="O43" i="1"/>
  <c r="O38" i="1"/>
  <c r="O45" i="1"/>
  <c r="O36" i="1"/>
  <c r="O48" i="1"/>
  <c r="O57" i="1"/>
  <c r="O51" i="1"/>
  <c r="O47" i="1"/>
  <c r="O44" i="1"/>
  <c r="O49" i="1"/>
  <c r="O53" i="1"/>
  <c r="O56" i="1"/>
  <c r="O41" i="1"/>
  <c r="O40" i="1"/>
  <c r="O55" i="1"/>
  <c r="C15" i="1"/>
  <c r="F18" i="1" s="1"/>
  <c r="O52" i="1"/>
  <c r="C16" i="1"/>
  <c r="D18" i="1" s="1"/>
  <c r="C18" i="1" l="1"/>
  <c r="F19" i="1"/>
</calcChain>
</file>

<file path=xl/sharedStrings.xml><?xml version="1.0" encoding="utf-8"?>
<sst xmlns="http://schemas.openxmlformats.org/spreadsheetml/2006/main" count="379" uniqueCount="204">
  <si>
    <t>IBVS 6244</t>
  </si>
  <si>
    <t>JAVSO..45..121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</si>
  <si>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</si>
  <si>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</si>
  <si>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</si>
  <si>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</si>
  <si>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</si>
  <si>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</si>
  <si>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</si>
  <si>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</si>
  <si>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</si>
  <si>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</si>
  <si>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</si>
  <si>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</si>
  <si>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</si>
  <si>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</si>
  <si>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</si>
  <si>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</si>
  <si>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</si>
  <si>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</si>
  <si>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</si>
  <si>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</si>
  <si>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</si>
  <si>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</si>
  <si>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</si>
  <si>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</si>
  <si>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</si>
  <si>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</si>
  <si>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4472</t>
  </si>
  <si>
    <t>I</t>
  </si>
  <si>
    <t>IBVS 4383</t>
  </si>
  <si>
    <t>IBVS 5296</t>
  </si>
  <si>
    <t>IBVS 5594</t>
  </si>
  <si>
    <t>IBVS 5676</t>
  </si>
  <si>
    <t>II</t>
  </si>
  <si>
    <t>EB/DW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</si>
  <si>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</si>
  <si>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</si>
  <si>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</si>
  <si>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</si>
  <si>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</si>
  <si>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</si>
  <si>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</si>
  <si>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</si>
  <si>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</si>
  <si>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6070</t>
  </si>
  <si>
    <t>V0609 Aql / gsc 1084-0196</t>
  </si>
  <si>
    <t>Add cycle</t>
  </si>
  <si>
    <t>Old Cycle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</si>
  <si>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</si>
  <si>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</si>
  <si>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</si>
  <si>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</si>
  <si>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</si>
  <si>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</si>
  <si>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</si>
  <si>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</si>
  <si>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</si>
  <si>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</si>
  <si>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</si>
  <si>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</si>
  <si>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</si>
  <si>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2428779.450 </t>
  </si>
  <si>
    <t> 02.09.1937 22:48 </t>
  </si>
  <si>
    <t> -0.091 </t>
  </si>
  <si>
    <t>V </t>
  </si>
  <si>
    <t> M.Klusak </t>
  </si>
  <si>
    <t> SAC 30.104 </t>
  </si>
  <si>
    <t>2428811.320 </t>
  </si>
  <si>
    <t> 04.10.1937 19:40 </t>
  </si>
  <si>
    <t> -0.083 </t>
  </si>
  <si>
    <t>2428827.250 </t>
  </si>
  <si>
    <t> 20.10.1937 18:00 </t>
  </si>
  <si>
    <t> -0.084 </t>
  </si>
  <si>
    <t>2429104.478 </t>
  </si>
  <si>
    <t> 24.07.1938 23:28 </t>
  </si>
  <si>
    <t> -0.059 </t>
  </si>
  <si>
    <t>2429294.430 </t>
  </si>
  <si>
    <t> 30.01.1939 22:19 </t>
  </si>
  <si>
    <t> -0.087 </t>
  </si>
  <si>
    <t> I.M.Ischtchenko </t>
  </si>
  <si>
    <t> PZ 10.404 </t>
  </si>
  <si>
    <t>2429365.725 </t>
  </si>
  <si>
    <t> 12.04.1939 05:24 </t>
  </si>
  <si>
    <t>2431653.481 </t>
  </si>
  <si>
    <t> 16.07.1945 23:32 </t>
  </si>
  <si>
    <t> -0.051 </t>
  </si>
  <si>
    <t>2432385.501 </t>
  </si>
  <si>
    <t> 19.07.1947 00:01 </t>
  </si>
  <si>
    <t> -0.071 </t>
  </si>
  <si>
    <t>2433023.550 </t>
  </si>
  <si>
    <t> 17.04.1949 01:12 </t>
  </si>
  <si>
    <t> -0.067 </t>
  </si>
  <si>
    <t>2433850.378 </t>
  </si>
  <si>
    <t> 22.07.1951 21:04 </t>
  </si>
  <si>
    <t> -0.069 </t>
  </si>
  <si>
    <t>2434649.330 </t>
  </si>
  <si>
    <t> 28.09.1953 19:55 </t>
  </si>
  <si>
    <t> -0.068 </t>
  </si>
  <si>
    <t>2435698.399 </t>
  </si>
  <si>
    <t> 12.08.1956 21:34 </t>
  </si>
  <si>
    <t> -0.070 </t>
  </si>
  <si>
    <t>2436818.375 </t>
  </si>
  <si>
    <t> 06.09.1959 21:00 </t>
  </si>
  <si>
    <t> -0.058 </t>
  </si>
  <si>
    <t>P </t>
  </si>
  <si>
    <t> H.Busch </t>
  </si>
  <si>
    <t> HABZ 21 </t>
  </si>
  <si>
    <t>2437146.549 </t>
  </si>
  <si>
    <t> 31.07.1960 01:10 </t>
  </si>
  <si>
    <t>2448811.438 </t>
  </si>
  <si>
    <t> 07.07.1992 22:30 </t>
  </si>
  <si>
    <t> -0.016 </t>
  </si>
  <si>
    <t> Moschner &amp; Lau </t>
  </si>
  <si>
    <t>BAVM 93 </t>
  </si>
  <si>
    <t>2449931.4188 </t>
  </si>
  <si>
    <t> 01.08.1995 22:03 </t>
  </si>
  <si>
    <t> 0.0001 </t>
  </si>
  <si>
    <t>E </t>
  </si>
  <si>
    <t>o</t>
  </si>
  <si>
    <t> W.Kleikamp </t>
  </si>
  <si>
    <t>BAVM 91 </t>
  </si>
  <si>
    <t>2449978.4151 </t>
  </si>
  <si>
    <t> 17.09.1995 21:57 </t>
  </si>
  <si>
    <t> -0.0007 </t>
  </si>
  <si>
    <t> J.Moschner </t>
  </si>
  <si>
    <t>2450299.4307 </t>
  </si>
  <si>
    <t> 03.08.1996 22:20 </t>
  </si>
  <si>
    <t> 0.0009 </t>
  </si>
  <si>
    <t>BAVM 99 </t>
  </si>
  <si>
    <t>2451811.3068 </t>
  </si>
  <si>
    <t> 23.09.2000 19:21 </t>
  </si>
  <si>
    <t> 0.0044 </t>
  </si>
  <si>
    <t>-I</t>
  </si>
  <si>
    <t>BAVM 152 </t>
  </si>
  <si>
    <t>2452496.3482 </t>
  </si>
  <si>
    <t> 09.08.2002 20:21 </t>
  </si>
  <si>
    <t>-3632</t>
  </si>
  <si>
    <t> 0.0034 </t>
  </si>
  <si>
    <t>?</t>
  </si>
  <si>
    <t> Sarounova &amp; Wolf </t>
  </si>
  <si>
    <t>IBVS 5595 </t>
  </si>
  <si>
    <t>2452877.5025 </t>
  </si>
  <si>
    <t> 26.08.2003 00:03 </t>
  </si>
  <si>
    <t>-3153.5</t>
  </si>
  <si>
    <t> 0.0033 </t>
  </si>
  <si>
    <t> L.Kotková &amp; M.Wolf </t>
  </si>
  <si>
    <t>IBVS 5676 </t>
  </si>
  <si>
    <t>2453612.327 </t>
  </si>
  <si>
    <t> 29.08.2005 19:50 </t>
  </si>
  <si>
    <t>-2231</t>
  </si>
  <si>
    <t> 0.000 </t>
  </si>
  <si>
    <t>C </t>
  </si>
  <si>
    <t> Rätz </t>
  </si>
  <si>
    <t>BAVM 178 </t>
  </si>
  <si>
    <t>2453920.2048 </t>
  </si>
  <si>
    <t> 03.07.2006 16:54 </t>
  </si>
  <si>
    <t>-1844.5</t>
  </si>
  <si>
    <t> 0.0074 </t>
  </si>
  <si>
    <t> K. Nagai et al. </t>
  </si>
  <si>
    <t>VSB 45 </t>
  </si>
  <si>
    <t>2453950.0749 </t>
  </si>
  <si>
    <t> 02.08.2006 13:47 </t>
  </si>
  <si>
    <t>-1807</t>
  </si>
  <si>
    <t> 0.0064 </t>
  </si>
  <si>
    <t>2454023.3594 </t>
  </si>
  <si>
    <t> 14.10.2006 20:37 </t>
  </si>
  <si>
    <t>-1715</t>
  </si>
  <si>
    <t> 0.0073 </t>
  </si>
  <si>
    <t> F. Agerer </t>
  </si>
  <si>
    <t>BAVM 183 </t>
  </si>
  <si>
    <t>2454389.3821 </t>
  </si>
  <si>
    <t> 15.10.2007 21:10 </t>
  </si>
  <si>
    <t>-1255.5</t>
  </si>
  <si>
    <t> 0.0103 </t>
  </si>
  <si>
    <t> F.Agerer </t>
  </si>
  <si>
    <t>BAVM 193 </t>
  </si>
  <si>
    <t>2454663.3901 </t>
  </si>
  <si>
    <t> 15.07.2008 21:21 </t>
  </si>
  <si>
    <t>-911.5</t>
  </si>
  <si>
    <t> 0.0014 </t>
  </si>
  <si>
    <t>BAVM 203 </t>
  </si>
  <si>
    <t>2455389.4543 </t>
  </si>
  <si>
    <t> 11.07.2010 22:54 </t>
  </si>
  <si>
    <t>0</t>
  </si>
  <si>
    <t> 0.0003 </t>
  </si>
  <si>
    <t>BAVM 215 </t>
  </si>
  <si>
    <t>2456094.4037 </t>
  </si>
  <si>
    <t> 15.06.2012 21:41 </t>
  </si>
  <si>
    <t>885</t>
  </si>
  <si>
    <t> -0.0067 </t>
  </si>
  <si>
    <t>BAVM 231 </t>
  </si>
  <si>
    <t>2457210.3839 </t>
  </si>
  <si>
    <t> 06.07.2015 21:12 </t>
  </si>
  <si>
    <t>2286</t>
  </si>
  <si>
    <t> -0.0083 </t>
  </si>
  <si>
    <t>BAVM 241 (=IBVS 6157) </t>
  </si>
  <si>
    <t>s5</t>
  </si>
  <si>
    <t>s6</t>
  </si>
  <si>
    <t>s7</t>
  </si>
  <si>
    <t>IBVS 6157</t>
  </si>
  <si>
    <t>57210.3839</t>
  </si>
  <si>
    <t>JAVSO..46..184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</si>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</sst>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0" fillId="0" borderId="0" xfId="0" applyNumberForma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V0609 Aql - O-C Diagr.</a:t>
            </a:r>
          </a:p>
        </c:rich>
      </c:tx>
      <c:layout>
        <c:manualLayout>
          <c:xMode val="edge"/>
          <c:yMode val="edge"/>
          <c:x val="0.330578946226762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20-4A14-BB80-B264DBAF76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-3.1599999965692405E-3</c:v>
                </c:pt>
                <c:pt idx="1">
                  <c:v>4.2400000020279549E-3</c:v>
                </c:pt>
                <c:pt idx="2">
                  <c:v>2.9400000021269079E-3</c:v>
                </c:pt>
                <c:pt idx="3">
                  <c:v>2.6320000000850996E-2</c:v>
                </c:pt>
                <c:pt idx="4">
                  <c:v>-2.432499997667037E-3</c:v>
                </c:pt>
                <c:pt idx="6">
                  <c:v>2.1319999999832362E-2</c:v>
                </c:pt>
                <c:pt idx="7">
                  <c:v>-1.914999997097766E-3</c:v>
                </c:pt>
                <c:pt idx="8">
                  <c:v>-1.4799999917158857E-3</c:v>
                </c:pt>
                <c:pt idx="9">
                  <c:v>-7.9499999992549419E-3</c:v>
                </c:pt>
                <c:pt idx="10">
                  <c:v>-1.0644999994838145E-2</c:v>
                </c:pt>
                <c:pt idx="11">
                  <c:v>-1.7749999999068677E-2</c:v>
                </c:pt>
                <c:pt idx="12">
                  <c:v>-1.2139999998908024E-2</c:v>
                </c:pt>
                <c:pt idx="13">
                  <c:v>-2.2920000003068708E-2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20-4A14-BB80-B264DBAF76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5">
                  <c:v>-2.1370000002207235E-2</c:v>
                </c:pt>
                <c:pt idx="16">
                  <c:v>-2.2404999996069819E-2</c:v>
                </c:pt>
                <c:pt idx="17">
                  <c:v>-2.2499999999126885E-2</c:v>
                </c:pt>
                <c:pt idx="18">
                  <c:v>-2.6770000004034955E-2</c:v>
                </c:pt>
                <c:pt idx="21">
                  <c:v>-4.0035000005445909E-2</c:v>
                </c:pt>
                <c:pt idx="24">
                  <c:v>-3.5174999997252598E-2</c:v>
                </c:pt>
                <c:pt idx="27">
                  <c:v>-4.9249999996391125E-2</c:v>
                </c:pt>
                <c:pt idx="28">
                  <c:v>-5.987499999901047E-2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20-4A14-BB80-B264DBAF76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4">
                  <c:v>-3.177999999752501E-2</c:v>
                </c:pt>
                <c:pt idx="19">
                  <c:v>-3.1269999999494758E-2</c:v>
                </c:pt>
                <c:pt idx="20">
                  <c:v>-3.3322499992209487E-2</c:v>
                </c:pt>
                <c:pt idx="22">
                  <c:v>-3.4607499997946434E-2</c:v>
                </c:pt>
                <c:pt idx="23">
                  <c:v>-3.5694999998668209E-2</c:v>
                </c:pt>
                <c:pt idx="25">
                  <c:v>-3.4092499990947545E-2</c:v>
                </c:pt>
                <c:pt idx="26">
                  <c:v>-4.4452499998442363E-2</c:v>
                </c:pt>
                <c:pt idx="29">
                  <c:v>-6.723999999667285E-2</c:v>
                </c:pt>
                <c:pt idx="30">
                  <c:v>-6.6374999994877726E-2</c:v>
                </c:pt>
                <c:pt idx="31">
                  <c:v>-6.8569999995816033E-2</c:v>
                </c:pt>
                <c:pt idx="32">
                  <c:v>-6.7775000003166497E-2</c:v>
                </c:pt>
                <c:pt idx="33">
                  <c:v>-6.9499999997788109E-2</c:v>
                </c:pt>
                <c:pt idx="34">
                  <c:v>-6.4062500001455192E-2</c:v>
                </c:pt>
                <c:pt idx="35">
                  <c:v>-7.068000000435859E-2</c:v>
                </c:pt>
                <c:pt idx="36">
                  <c:v>-6.9554999834508635E-2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20-4A14-BB80-B264DBAF76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20-4A14-BB80-B264DBAF76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20-4A14-BB80-B264DBAF76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20-4A14-BB80-B264DBAF76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5">
                  <c:v>-2.6631762944616388E-3</c:v>
                </c:pt>
                <c:pt idx="16">
                  <c:v>-3.0634936306926375E-3</c:v>
                </c:pt>
                <c:pt idx="17">
                  <c:v>-5.7978645883382529E-3</c:v>
                </c:pt>
                <c:pt idx="18">
                  <c:v>-1.867586974370139E-2</c:v>
                </c:pt>
                <c:pt idx="19">
                  <c:v>-2.4511003797237918E-2</c:v>
                </c:pt>
                <c:pt idx="20">
                  <c:v>-2.7757645244467249E-2</c:v>
                </c:pt>
                <c:pt idx="21">
                  <c:v>-3.4016844272824726E-2</c:v>
                </c:pt>
                <c:pt idx="22">
                  <c:v>-3.6639262077117596E-2</c:v>
                </c:pt>
                <c:pt idx="23">
                  <c:v>-3.6893701062010176E-2</c:v>
                </c:pt>
                <c:pt idx="24">
                  <c:v>-3.7517924704946637E-2</c:v>
                </c:pt>
                <c:pt idx="25">
                  <c:v>-4.0635650399830386E-2</c:v>
                </c:pt>
                <c:pt idx="26">
                  <c:v>-4.2969704021245003E-2</c:v>
                </c:pt>
                <c:pt idx="27">
                  <c:v>-4.9154267614033992E-2</c:v>
                </c:pt>
                <c:pt idx="28">
                  <c:v>-5.5159027657498888E-2</c:v>
                </c:pt>
                <c:pt idx="29">
                  <c:v>-6.4664868133085696E-2</c:v>
                </c:pt>
                <c:pt idx="30">
                  <c:v>-6.5065185469316694E-2</c:v>
                </c:pt>
                <c:pt idx="31">
                  <c:v>-6.7663855635019587E-2</c:v>
                </c:pt>
                <c:pt idx="32">
                  <c:v>-6.4929484677374E-2</c:v>
                </c:pt>
                <c:pt idx="33">
                  <c:v>-6.8355929673927424E-2</c:v>
                </c:pt>
                <c:pt idx="34">
                  <c:v>-7.0883356923860386E-2</c:v>
                </c:pt>
                <c:pt idx="35">
                  <c:v>-7.1558468363775357E-2</c:v>
                </c:pt>
                <c:pt idx="36">
                  <c:v>-7.0832469126881875E-2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20-4A14-BB80-B264DBAF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557952"/>
        <c:axId val="1"/>
      </c:scatterChart>
      <c:valAx>
        <c:axId val="577557952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557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49608468362942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V0609 Aql - O-C Diagr.</a:t>
            </a:r>
          </a:p>
        </c:rich>
      </c:tx>
      <c:layout>
        <c:manualLayout>
          <c:xMode val="edge"/>
          <c:yMode val="edge"/>
          <c:x val="0.33808427085971066"/>
          <c:y val="3.3742324265541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28865979381442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80-4B03-92D4-5569F9612A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-3.1599999965692405E-3</c:v>
                </c:pt>
                <c:pt idx="1">
                  <c:v>4.2400000020279549E-3</c:v>
                </c:pt>
                <c:pt idx="2">
                  <c:v>2.9400000021269079E-3</c:v>
                </c:pt>
                <c:pt idx="3">
                  <c:v>2.6320000000850996E-2</c:v>
                </c:pt>
                <c:pt idx="4">
                  <c:v>-2.432499997667037E-3</c:v>
                </c:pt>
                <c:pt idx="6">
                  <c:v>2.1319999999832362E-2</c:v>
                </c:pt>
                <c:pt idx="7">
                  <c:v>-1.914999997097766E-3</c:v>
                </c:pt>
                <c:pt idx="8">
                  <c:v>-1.4799999917158857E-3</c:v>
                </c:pt>
                <c:pt idx="9">
                  <c:v>-7.9499999992549419E-3</c:v>
                </c:pt>
                <c:pt idx="10">
                  <c:v>-1.0644999994838145E-2</c:v>
                </c:pt>
                <c:pt idx="11">
                  <c:v>-1.7749999999068677E-2</c:v>
                </c:pt>
                <c:pt idx="12">
                  <c:v>-1.2139999998908024E-2</c:v>
                </c:pt>
                <c:pt idx="13">
                  <c:v>-2.2920000003068708E-2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80-4B03-92D4-5569F9612A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5">
                  <c:v>-2.1370000002207235E-2</c:v>
                </c:pt>
                <c:pt idx="16">
                  <c:v>-2.2404999996069819E-2</c:v>
                </c:pt>
                <c:pt idx="17">
                  <c:v>-2.2499999999126885E-2</c:v>
                </c:pt>
                <c:pt idx="18">
                  <c:v>-2.6770000004034955E-2</c:v>
                </c:pt>
                <c:pt idx="21">
                  <c:v>-4.0035000005445909E-2</c:v>
                </c:pt>
                <c:pt idx="24">
                  <c:v>-3.5174999997252598E-2</c:v>
                </c:pt>
                <c:pt idx="27">
                  <c:v>-4.9249999996391125E-2</c:v>
                </c:pt>
                <c:pt idx="28">
                  <c:v>-5.987499999901047E-2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80-4B03-92D4-5569F9612A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4">
                  <c:v>-3.177999999752501E-2</c:v>
                </c:pt>
                <c:pt idx="19">
                  <c:v>-3.1269999999494758E-2</c:v>
                </c:pt>
                <c:pt idx="20">
                  <c:v>-3.3322499992209487E-2</c:v>
                </c:pt>
                <c:pt idx="22">
                  <c:v>-3.4607499997946434E-2</c:v>
                </c:pt>
                <c:pt idx="23">
                  <c:v>-3.5694999998668209E-2</c:v>
                </c:pt>
                <c:pt idx="25">
                  <c:v>-3.4092499990947545E-2</c:v>
                </c:pt>
                <c:pt idx="26">
                  <c:v>-4.4452499998442363E-2</c:v>
                </c:pt>
                <c:pt idx="29">
                  <c:v>-6.723999999667285E-2</c:v>
                </c:pt>
                <c:pt idx="30">
                  <c:v>-6.6374999994877726E-2</c:v>
                </c:pt>
                <c:pt idx="31">
                  <c:v>-6.8569999995816033E-2</c:v>
                </c:pt>
                <c:pt idx="32">
                  <c:v>-6.7775000003166497E-2</c:v>
                </c:pt>
                <c:pt idx="33">
                  <c:v>-6.9499999997788109E-2</c:v>
                </c:pt>
                <c:pt idx="34">
                  <c:v>-6.4062500001455192E-2</c:v>
                </c:pt>
                <c:pt idx="35">
                  <c:v>-7.068000000435859E-2</c:v>
                </c:pt>
                <c:pt idx="36">
                  <c:v>-6.9554999834508635E-2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80-4B03-92D4-5569F9612A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80-4B03-92D4-5569F9612A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80-4B03-92D4-5569F9612A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1.8E-3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6.1000000000000004E-3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1.1000000000000001E-3</c:v>
                  </c:pt>
                  <c:pt idx="31">
                    <c:v>1.5E-3</c:v>
                  </c:pt>
                  <c:pt idx="32">
                    <c:v>5.1999999999999998E-3</c:v>
                  </c:pt>
                  <c:pt idx="33">
                    <c:v>2.0000000000000001E-4</c:v>
                  </c:pt>
                  <c:pt idx="34">
                    <c:v>6.4999999999999997E-3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80-4B03-92D4-5569F9612A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-736</c:v>
                </c:pt>
                <c:pt idx="1">
                  <c:v>-696</c:v>
                </c:pt>
                <c:pt idx="2">
                  <c:v>-676</c:v>
                </c:pt>
                <c:pt idx="3">
                  <c:v>-328</c:v>
                </c:pt>
                <c:pt idx="4">
                  <c:v>-89.5</c:v>
                </c:pt>
                <c:pt idx="5">
                  <c:v>0</c:v>
                </c:pt>
                <c:pt idx="6">
                  <c:v>2872</c:v>
                </c:pt>
                <c:pt idx="7">
                  <c:v>3791</c:v>
                </c:pt>
                <c:pt idx="8">
                  <c:v>4592</c:v>
                </c:pt>
                <c:pt idx="9">
                  <c:v>5630</c:v>
                </c:pt>
                <c:pt idx="10">
                  <c:v>6633</c:v>
                </c:pt>
                <c:pt idx="11">
                  <c:v>7950</c:v>
                </c:pt>
                <c:pt idx="12">
                  <c:v>9356</c:v>
                </c:pt>
                <c:pt idx="13">
                  <c:v>9768</c:v>
                </c:pt>
                <c:pt idx="14">
                  <c:v>24412</c:v>
                </c:pt>
                <c:pt idx="15">
                  <c:v>25818</c:v>
                </c:pt>
                <c:pt idx="16">
                  <c:v>25877</c:v>
                </c:pt>
                <c:pt idx="17">
                  <c:v>26280</c:v>
                </c:pt>
                <c:pt idx="18">
                  <c:v>28178</c:v>
                </c:pt>
                <c:pt idx="19">
                  <c:v>29038</c:v>
                </c:pt>
                <c:pt idx="20">
                  <c:v>29516.5</c:v>
                </c:pt>
                <c:pt idx="21">
                  <c:v>30439</c:v>
                </c:pt>
                <c:pt idx="22">
                  <c:v>30825.5</c:v>
                </c:pt>
                <c:pt idx="23">
                  <c:v>30863</c:v>
                </c:pt>
                <c:pt idx="24">
                  <c:v>30955</c:v>
                </c:pt>
                <c:pt idx="25">
                  <c:v>31414.5</c:v>
                </c:pt>
                <c:pt idx="26">
                  <c:v>31758.5</c:v>
                </c:pt>
                <c:pt idx="27">
                  <c:v>32670</c:v>
                </c:pt>
                <c:pt idx="28">
                  <c:v>33555</c:v>
                </c:pt>
                <c:pt idx="29">
                  <c:v>34956</c:v>
                </c:pt>
                <c:pt idx="30">
                  <c:v>35015</c:v>
                </c:pt>
                <c:pt idx="31">
                  <c:v>35398</c:v>
                </c:pt>
                <c:pt idx="32">
                  <c:v>34995</c:v>
                </c:pt>
                <c:pt idx="33">
                  <c:v>35500</c:v>
                </c:pt>
                <c:pt idx="34">
                  <c:v>35872.5</c:v>
                </c:pt>
                <c:pt idx="35">
                  <c:v>35972</c:v>
                </c:pt>
                <c:pt idx="36">
                  <c:v>35865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5">
                  <c:v>-2.6631762944616388E-3</c:v>
                </c:pt>
                <c:pt idx="16">
                  <c:v>-3.0634936306926375E-3</c:v>
                </c:pt>
                <c:pt idx="17">
                  <c:v>-5.7978645883382529E-3</c:v>
                </c:pt>
                <c:pt idx="18">
                  <c:v>-1.867586974370139E-2</c:v>
                </c:pt>
                <c:pt idx="19">
                  <c:v>-2.4511003797237918E-2</c:v>
                </c:pt>
                <c:pt idx="20">
                  <c:v>-2.7757645244467249E-2</c:v>
                </c:pt>
                <c:pt idx="21">
                  <c:v>-3.4016844272824726E-2</c:v>
                </c:pt>
                <c:pt idx="22">
                  <c:v>-3.6639262077117596E-2</c:v>
                </c:pt>
                <c:pt idx="23">
                  <c:v>-3.6893701062010176E-2</c:v>
                </c:pt>
                <c:pt idx="24">
                  <c:v>-3.7517924704946637E-2</c:v>
                </c:pt>
                <c:pt idx="25">
                  <c:v>-4.0635650399830386E-2</c:v>
                </c:pt>
                <c:pt idx="26">
                  <c:v>-4.2969704021245003E-2</c:v>
                </c:pt>
                <c:pt idx="27">
                  <c:v>-4.9154267614033992E-2</c:v>
                </c:pt>
                <c:pt idx="28">
                  <c:v>-5.5159027657498888E-2</c:v>
                </c:pt>
                <c:pt idx="29">
                  <c:v>-6.4664868133085696E-2</c:v>
                </c:pt>
                <c:pt idx="30">
                  <c:v>-6.5065185469316694E-2</c:v>
                </c:pt>
                <c:pt idx="31">
                  <c:v>-6.7663855635019587E-2</c:v>
                </c:pt>
                <c:pt idx="32">
                  <c:v>-6.4929484677374E-2</c:v>
                </c:pt>
                <c:pt idx="33">
                  <c:v>-6.8355929673927424E-2</c:v>
                </c:pt>
                <c:pt idx="34">
                  <c:v>-7.0883356923860386E-2</c:v>
                </c:pt>
                <c:pt idx="35">
                  <c:v>-7.1558468363775357E-2</c:v>
                </c:pt>
                <c:pt idx="36">
                  <c:v>-7.0832469126881875E-2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80-4B03-92D4-5569F9612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225664"/>
        <c:axId val="1"/>
      </c:scatterChart>
      <c:valAx>
        <c:axId val="527225664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4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225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2680412371134"/>
          <c:y val="0.92024539877300615"/>
          <c:w val="0.837113402061855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1</xdr:rowOff>
    </xdr:from>
    <xdr:to>
      <xdr:col>17</xdr:col>
      <xdr:colOff>552450</xdr:colOff>
      <xdr:row>17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B0085A7-AAD1-F0D1-0B7C-3CA248CAD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609600</xdr:colOff>
      <xdr:row>0</xdr:row>
      <xdr:rowOff>57150</xdr:rowOff>
    </xdr:from>
    <xdr:to>
      <xdr:col>26</xdr:col>
      <xdr:colOff>657225</xdr:colOff>
      <xdr:row>18</xdr:row>
      <xdr:rowOff>38100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D7A9CEA-ACFF-848B-F707-1E8505751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6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bav-astro.de/sfs/BAVM_link.php?BAVMnr=91" TargetMode="External"/><Relationship Id="rId7" Type="http://schemas.openxmlformats.org/officeDocument/2006/relationships/hyperlink" Target="http://www.konkoly.hu/cgi-bin/IBVS?5595" TargetMode="External"/><Relationship Id="rId12" Type="http://schemas.openxmlformats.org/officeDocument/2006/relationships/hyperlink" Target="http://www.bav-astro.de/sfs/BAVM_link.php?BAVMnr=183" TargetMode="External"/><Relationship Id="rId1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93" TargetMode="External"/><Relationship Id="rId16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bav-astro.de/sfs/BAVM_link.php?BAVMnr=99" TargetMode="External"/><Relationship Id="rId1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bav-astro.de/sfs/BAVM_link.php?BAVMnr=91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0.140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  <c r="B1" s="19"/>
      <c r="C1" s="18"/>
    </row>
    <row r="2" spans="1:6" x14ac:dyDescent="0.2">
      <c r="A2" t="s">
        <v>27</v>
      </c>
      <c r="B2" s="20" t="s">
        <v>35</v>
      </c>
    </row>
    <row r="4" spans="1:6" ht="14.25" thickTop="1" thickBot="1" x14ac:dyDescent="0.25">
      <c r="A4" s="7" t="s">
        <v>3</v>
      </c>
      <c r="C4" s="3">
        <v>29365.724999999999</v>
      </c>
      <c r="D4" s="4">
        <v>0.79656499999999997</v>
      </c>
    </row>
    <row r="5" spans="1:6" ht="13.5" thickTop="1" x14ac:dyDescent="0.2">
      <c r="A5" s="27" t="s">
        <v>38</v>
      </c>
      <c r="B5" s="21"/>
      <c r="C5" s="28">
        <v>-9.5</v>
      </c>
      <c r="D5" s="21" t="s">
        <v>39</v>
      </c>
    </row>
    <row r="6" spans="1:6" x14ac:dyDescent="0.2">
      <c r="A6" s="7" t="s">
        <v>4</v>
      </c>
    </row>
    <row r="7" spans="1:6" x14ac:dyDescent="0.2">
      <c r="A7" t="s">
        <v>5</v>
      </c>
      <c r="C7">
        <f>+C4</f>
        <v>29365.724999999999</v>
      </c>
    </row>
    <row r="8" spans="1:6" x14ac:dyDescent="0.2">
      <c r="A8" t="s">
        <v>6</v>
      </c>
      <c r="C8">
        <f>+D4</f>
        <v>0.79656499999999997</v>
      </c>
    </row>
    <row r="9" spans="1:6" x14ac:dyDescent="0.2">
      <c r="A9" s="40" t="s">
        <v>44</v>
      </c>
      <c r="B9" s="41">
        <v>42</v>
      </c>
      <c r="C9" s="30" t="str">
        <f>"F"&amp;B9</f>
        <v>F42</v>
      </c>
      <c r="D9" s="14" t="str">
        <f>"G"&amp;B9</f>
        <v>G42</v>
      </c>
    </row>
    <row r="10" spans="1:6" ht="13.5" thickBot="1" x14ac:dyDescent="0.25">
      <c r="A10" s="21"/>
      <c r="B10" s="21"/>
      <c r="C10" s="6" t="s">
        <v>23</v>
      </c>
      <c r="D10" s="6" t="s">
        <v>24</v>
      </c>
      <c r="E10" s="21"/>
    </row>
    <row r="11" spans="1:6" x14ac:dyDescent="0.2">
      <c r="A11" s="21" t="s">
        <v>19</v>
      </c>
      <c r="B11" s="21"/>
      <c r="C11" s="29">
        <f ca="1">INTERCEPT(INDIRECT($D$9):G992,INDIRECT($C$9):F992)</f>
        <v>0.17251297602438229</v>
      </c>
      <c r="D11" s="5"/>
      <c r="E11" s="21"/>
    </row>
    <row r="12" spans="1:6" x14ac:dyDescent="0.2">
      <c r="A12" s="21" t="s">
        <v>20</v>
      </c>
      <c r="B12" s="21"/>
      <c r="C12" s="29">
        <f ca="1">SLOPE(INDIRECT($D$9):G992,INDIRECT($C$9):F992)</f>
        <v>-6.7850395971354844E-6</v>
      </c>
      <c r="D12" s="5"/>
      <c r="E12" s="21"/>
    </row>
    <row r="13" spans="1:6" x14ac:dyDescent="0.2">
      <c r="A13" s="21" t="s">
        <v>22</v>
      </c>
      <c r="B13" s="21"/>
      <c r="C13" s="5" t="s">
        <v>17</v>
      </c>
    </row>
    <row r="14" spans="1:6" x14ac:dyDescent="0.2">
      <c r="A14" s="21"/>
      <c r="B14" s="21"/>
      <c r="C14" s="21"/>
    </row>
    <row r="15" spans="1:6" x14ac:dyDescent="0.2">
      <c r="A15" s="31" t="s">
        <v>21</v>
      </c>
      <c r="B15" s="21"/>
      <c r="C15" s="32">
        <f ca="1">(C7+C11)+(C8+C12)*INT(MAX(F21:F3533))</f>
        <v>58019.68962153163</v>
      </c>
      <c r="E15" s="33" t="s">
        <v>47</v>
      </c>
      <c r="F15" s="28">
        <v>1</v>
      </c>
    </row>
    <row r="16" spans="1:6" x14ac:dyDescent="0.2">
      <c r="A16" s="35" t="s">
        <v>7</v>
      </c>
      <c r="B16" s="21"/>
      <c r="C16" s="36">
        <f ca="1">+C8+C12</f>
        <v>0.7965582149604028</v>
      </c>
      <c r="E16" s="33" t="s">
        <v>40</v>
      </c>
      <c r="F16" s="34">
        <f ca="1">NOW()+15018.5+$C$5/24</f>
        <v>60320.698050115738</v>
      </c>
    </row>
    <row r="17" spans="1:17" ht="13.5" thickBot="1" x14ac:dyDescent="0.25">
      <c r="A17" s="33" t="s">
        <v>36</v>
      </c>
      <c r="B17" s="21"/>
      <c r="C17" s="21">
        <f>COUNT(C21:C2191)</f>
        <v>36</v>
      </c>
      <c r="E17" s="33" t="s">
        <v>48</v>
      </c>
      <c r="F17" s="34">
        <f ca="1">ROUND(2*(F16-$C$7)/$C$8,0)/2+F15</f>
        <v>38861.5</v>
      </c>
    </row>
    <row r="18" spans="1:17" ht="14.25" thickTop="1" thickBot="1" x14ac:dyDescent="0.25">
      <c r="A18" s="35" t="s">
        <v>8</v>
      </c>
      <c r="B18" s="21"/>
      <c r="C18" s="38">
        <f ca="1">+C15</f>
        <v>58019.68962153163</v>
      </c>
      <c r="D18" s="39">
        <f ca="1">+C16</f>
        <v>0.7965582149604028</v>
      </c>
      <c r="E18" s="33" t="s">
        <v>41</v>
      </c>
      <c r="F18" s="14">
        <f ca="1">ROUND(2*(F16-$C$15)/$C$16,0)/2+F15</f>
        <v>2889.5</v>
      </c>
    </row>
    <row r="19" spans="1:17" ht="13.5" thickTop="1" x14ac:dyDescent="0.2">
      <c r="E19" s="33" t="s">
        <v>42</v>
      </c>
      <c r="F19" s="37">
        <f ca="1">+$C$15+$C$16*F18-15018.5-$C$5/24</f>
        <v>45303.240416993052</v>
      </c>
    </row>
    <row r="20" spans="1:17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57</v>
      </c>
      <c r="I20" s="9" t="s">
        <v>60</v>
      </c>
      <c r="J20" s="9" t="s">
        <v>54</v>
      </c>
      <c r="K20" s="9" t="s">
        <v>52</v>
      </c>
      <c r="L20" s="9" t="s">
        <v>197</v>
      </c>
      <c r="M20" s="9" t="s">
        <v>198</v>
      </c>
      <c r="N20" s="9" t="s">
        <v>199</v>
      </c>
      <c r="O20" s="9" t="s">
        <v>26</v>
      </c>
      <c r="P20" s="8" t="s">
        <v>25</v>
      </c>
      <c r="Q20" s="6" t="s">
        <v>18</v>
      </c>
    </row>
    <row r="21" spans="1:17" x14ac:dyDescent="0.2">
      <c r="A21" s="14" t="s">
        <v>67</v>
      </c>
      <c r="B21" s="5" t="s">
        <v>29</v>
      </c>
      <c r="C21" s="22">
        <v>28779.45</v>
      </c>
      <c r="D21" s="22" t="s">
        <v>60</v>
      </c>
      <c r="E21">
        <f t="shared" ref="E21:E50" si="0">+(C21-C$7)/C$8</f>
        <v>-736.00396703344711</v>
      </c>
      <c r="F21">
        <f t="shared" ref="F21:F57" si="1">ROUND(2*E21,0)/2</f>
        <v>-736</v>
      </c>
      <c r="G21">
        <f>+C21-(C$7+F21*C$8)</f>
        <v>-3.1599999965692405E-3</v>
      </c>
      <c r="I21">
        <f>+G21</f>
        <v>-3.1599999965692405E-3</v>
      </c>
      <c r="Q21" s="2">
        <f t="shared" ref="Q21:Q50" si="2">+C21-15018.5</f>
        <v>13760.95</v>
      </c>
    </row>
    <row r="22" spans="1:17" x14ac:dyDescent="0.2">
      <c r="A22" s="14" t="s">
        <v>67</v>
      </c>
      <c r="B22" s="5" t="s">
        <v>29</v>
      </c>
      <c r="C22" s="22">
        <v>28811.32</v>
      </c>
      <c r="D22" s="22" t="s">
        <v>60</v>
      </c>
      <c r="E22">
        <f t="shared" si="0"/>
        <v>-695.99467714498985</v>
      </c>
      <c r="F22">
        <f t="shared" si="1"/>
        <v>-696</v>
      </c>
      <c r="G22">
        <f>+C22-(C$7+F22*C$8)</f>
        <v>4.2400000020279549E-3</v>
      </c>
      <c r="I22">
        <f>+G22</f>
        <v>4.2400000020279549E-3</v>
      </c>
      <c r="Q22" s="2">
        <f t="shared" si="2"/>
        <v>13792.82</v>
      </c>
    </row>
    <row r="23" spans="1:17" x14ac:dyDescent="0.2">
      <c r="A23" s="14" t="s">
        <v>67</v>
      </c>
      <c r="B23" s="5" t="s">
        <v>29</v>
      </c>
      <c r="C23" s="22">
        <v>28827.25</v>
      </c>
      <c r="D23" s="22" t="s">
        <v>60</v>
      </c>
      <c r="E23">
        <f t="shared" si="0"/>
        <v>-675.99630915242142</v>
      </c>
      <c r="F23">
        <f t="shared" si="1"/>
        <v>-676</v>
      </c>
      <c r="G23">
        <f>+C23-(C$7+F23*C$8)</f>
        <v>2.9400000021269079E-3</v>
      </c>
      <c r="I23">
        <f>+G23</f>
        <v>2.9400000021269079E-3</v>
      </c>
      <c r="Q23" s="2">
        <f t="shared" si="2"/>
        <v>13808.75</v>
      </c>
    </row>
    <row r="24" spans="1:17" x14ac:dyDescent="0.2">
      <c r="A24" s="14" t="s">
        <v>67</v>
      </c>
      <c r="B24" s="5" t="s">
        <v>29</v>
      </c>
      <c r="C24" s="22">
        <v>29104.477999999999</v>
      </c>
      <c r="D24" s="22" t="s">
        <v>60</v>
      </c>
      <c r="E24">
        <f t="shared" si="0"/>
        <v>-327.9669581264547</v>
      </c>
      <c r="F24">
        <f t="shared" si="1"/>
        <v>-328</v>
      </c>
      <c r="G24">
        <f>+C24-(C$7+F24*C$8)</f>
        <v>2.6320000000850996E-2</v>
      </c>
      <c r="I24">
        <f>+G24</f>
        <v>2.6320000000850996E-2</v>
      </c>
      <c r="Q24" s="2">
        <f t="shared" si="2"/>
        <v>14085.977999999999</v>
      </c>
    </row>
    <row r="25" spans="1:17" x14ac:dyDescent="0.2">
      <c r="A25" s="14" t="s">
        <v>81</v>
      </c>
      <c r="B25" s="5" t="s">
        <v>34</v>
      </c>
      <c r="C25" s="22">
        <v>29294.43</v>
      </c>
      <c r="D25" s="22" t="s">
        <v>60</v>
      </c>
      <c r="E25">
        <f t="shared" si="0"/>
        <v>-89.503053736980988</v>
      </c>
      <c r="F25">
        <f t="shared" si="1"/>
        <v>-89.5</v>
      </c>
      <c r="G25">
        <f>+C25-(C$7+F25*C$8)</f>
        <v>-2.432499997667037E-3</v>
      </c>
      <c r="I25">
        <f>+G25</f>
        <v>-2.432499997667037E-3</v>
      </c>
      <c r="Q25" s="2">
        <f t="shared" si="2"/>
        <v>14275.93</v>
      </c>
    </row>
    <row r="26" spans="1:17" x14ac:dyDescent="0.2">
      <c r="A26" t="s">
        <v>15</v>
      </c>
      <c r="C26" s="22">
        <v>29365.724999999999</v>
      </c>
      <c r="D26" s="22" t="s">
        <v>17</v>
      </c>
      <c r="E26">
        <f t="shared" si="0"/>
        <v>0</v>
      </c>
      <c r="F26">
        <f t="shared" si="1"/>
        <v>0</v>
      </c>
      <c r="H26" s="14">
        <v>0</v>
      </c>
      <c r="Q26" s="2">
        <f t="shared" si="2"/>
        <v>14347.224999999999</v>
      </c>
    </row>
    <row r="27" spans="1:17" x14ac:dyDescent="0.2">
      <c r="A27" s="14" t="s">
        <v>67</v>
      </c>
      <c r="B27" s="5" t="s">
        <v>29</v>
      </c>
      <c r="C27" s="22">
        <v>31653.481</v>
      </c>
      <c r="D27" s="22" t="s">
        <v>60</v>
      </c>
      <c r="E27">
        <f t="shared" si="0"/>
        <v>2872.0267649218849</v>
      </c>
      <c r="F27">
        <f t="shared" si="1"/>
        <v>2872</v>
      </c>
      <c r="G27">
        <f t="shared" ref="G27:G50" si="3">+C27-(C$7+F27*C$8)</f>
        <v>2.1319999999832362E-2</v>
      </c>
      <c r="I27">
        <f t="shared" ref="I27:I34" si="4">+G27</f>
        <v>2.1319999999832362E-2</v>
      </c>
      <c r="Q27" s="2">
        <f t="shared" si="2"/>
        <v>16634.981</v>
      </c>
    </row>
    <row r="28" spans="1:17" x14ac:dyDescent="0.2">
      <c r="A28" s="14" t="s">
        <v>67</v>
      </c>
      <c r="B28" s="5" t="s">
        <v>29</v>
      </c>
      <c r="C28" s="22">
        <v>32385.501</v>
      </c>
      <c r="D28" s="22" t="s">
        <v>60</v>
      </c>
      <c r="E28">
        <f t="shared" si="0"/>
        <v>3790.9975959275162</v>
      </c>
      <c r="F28">
        <f t="shared" si="1"/>
        <v>3791</v>
      </c>
      <c r="G28">
        <f t="shared" si="3"/>
        <v>-1.914999997097766E-3</v>
      </c>
      <c r="I28">
        <f t="shared" si="4"/>
        <v>-1.914999997097766E-3</v>
      </c>
      <c r="Q28" s="2">
        <f t="shared" si="2"/>
        <v>17367.001</v>
      </c>
    </row>
    <row r="29" spans="1:17" x14ac:dyDescent="0.2">
      <c r="A29" s="14" t="s">
        <v>67</v>
      </c>
      <c r="B29" s="5" t="s">
        <v>29</v>
      </c>
      <c r="C29" s="22">
        <v>33023.550000000003</v>
      </c>
      <c r="D29" s="22" t="s">
        <v>60</v>
      </c>
      <c r="E29">
        <f t="shared" si="0"/>
        <v>4591.9981420223139</v>
      </c>
      <c r="F29">
        <f t="shared" si="1"/>
        <v>4592</v>
      </c>
      <c r="G29">
        <f t="shared" si="3"/>
        <v>-1.4799999917158857E-3</v>
      </c>
      <c r="I29">
        <f t="shared" si="4"/>
        <v>-1.4799999917158857E-3</v>
      </c>
      <c r="Q29" s="2">
        <f t="shared" si="2"/>
        <v>18005.050000000003</v>
      </c>
    </row>
    <row r="30" spans="1:17" x14ac:dyDescent="0.2">
      <c r="A30" s="14" t="s">
        <v>67</v>
      </c>
      <c r="B30" s="5" t="s">
        <v>29</v>
      </c>
      <c r="C30" s="22">
        <v>33850.377999999997</v>
      </c>
      <c r="D30" s="22" t="s">
        <v>60</v>
      </c>
      <c r="E30">
        <f t="shared" si="0"/>
        <v>5629.990019646857</v>
      </c>
      <c r="F30">
        <f t="shared" si="1"/>
        <v>5630</v>
      </c>
      <c r="G30">
        <f t="shared" si="3"/>
        <v>-7.9499999992549419E-3</v>
      </c>
      <c r="I30">
        <f t="shared" si="4"/>
        <v>-7.9499999992549419E-3</v>
      </c>
      <c r="Q30" s="2">
        <f t="shared" si="2"/>
        <v>18831.877999999997</v>
      </c>
    </row>
    <row r="31" spans="1:17" x14ac:dyDescent="0.2">
      <c r="A31" s="14" t="s">
        <v>67</v>
      </c>
      <c r="B31" s="5" t="s">
        <v>29</v>
      </c>
      <c r="C31" s="22">
        <v>34649.33</v>
      </c>
      <c r="D31" s="22" t="s">
        <v>60</v>
      </c>
      <c r="E31">
        <f t="shared" si="0"/>
        <v>6632.9866363699175</v>
      </c>
      <c r="F31">
        <f t="shared" si="1"/>
        <v>6633</v>
      </c>
      <c r="G31">
        <f t="shared" si="3"/>
        <v>-1.0644999994838145E-2</v>
      </c>
      <c r="I31">
        <f t="shared" si="4"/>
        <v>-1.0644999994838145E-2</v>
      </c>
      <c r="Q31" s="2">
        <f t="shared" si="2"/>
        <v>19630.830000000002</v>
      </c>
    </row>
    <row r="32" spans="1:17" x14ac:dyDescent="0.2">
      <c r="A32" s="14" t="s">
        <v>67</v>
      </c>
      <c r="B32" s="5" t="s">
        <v>29</v>
      </c>
      <c r="C32" s="22">
        <v>35698.398999999998</v>
      </c>
      <c r="D32" s="22" t="s">
        <v>60</v>
      </c>
      <c r="E32">
        <f t="shared" si="0"/>
        <v>7949.9777168216015</v>
      </c>
      <c r="F32">
        <f t="shared" si="1"/>
        <v>7950</v>
      </c>
      <c r="G32">
        <f t="shared" si="3"/>
        <v>-1.7749999999068677E-2</v>
      </c>
      <c r="I32">
        <f t="shared" si="4"/>
        <v>-1.7749999999068677E-2</v>
      </c>
      <c r="Q32" s="2">
        <f t="shared" si="2"/>
        <v>20679.898999999998</v>
      </c>
    </row>
    <row r="33" spans="1:17" x14ac:dyDescent="0.2">
      <c r="A33" s="14" t="s">
        <v>107</v>
      </c>
      <c r="B33" s="5" t="s">
        <v>29</v>
      </c>
      <c r="C33" s="22">
        <v>36818.375</v>
      </c>
      <c r="D33" s="22" t="s">
        <v>60</v>
      </c>
      <c r="E33">
        <f t="shared" si="0"/>
        <v>9355.9847595613683</v>
      </c>
      <c r="F33">
        <f t="shared" si="1"/>
        <v>9356</v>
      </c>
      <c r="G33">
        <f t="shared" si="3"/>
        <v>-1.2139999998908024E-2</v>
      </c>
      <c r="I33">
        <f t="shared" si="4"/>
        <v>-1.2139999998908024E-2</v>
      </c>
      <c r="Q33" s="2">
        <f t="shared" si="2"/>
        <v>21799.875</v>
      </c>
    </row>
    <row r="34" spans="1:17" x14ac:dyDescent="0.2">
      <c r="A34" s="14" t="s">
        <v>107</v>
      </c>
      <c r="B34" s="5" t="s">
        <v>29</v>
      </c>
      <c r="C34" s="22">
        <v>37146.548999999999</v>
      </c>
      <c r="D34" s="22" t="s">
        <v>60</v>
      </c>
      <c r="E34">
        <f t="shared" si="0"/>
        <v>9767.9712264535865</v>
      </c>
      <c r="F34">
        <f t="shared" si="1"/>
        <v>9768</v>
      </c>
      <c r="G34">
        <f t="shared" si="3"/>
        <v>-2.2920000003068708E-2</v>
      </c>
      <c r="I34">
        <f t="shared" si="4"/>
        <v>-2.2920000003068708E-2</v>
      </c>
      <c r="Q34" s="2">
        <f t="shared" si="2"/>
        <v>22128.048999999999</v>
      </c>
    </row>
    <row r="35" spans="1:17" x14ac:dyDescent="0.2">
      <c r="A35" s="14" t="s">
        <v>114</v>
      </c>
      <c r="B35" s="5" t="s">
        <v>29</v>
      </c>
      <c r="C35" s="22">
        <v>48811.438000000002</v>
      </c>
      <c r="D35" s="22" t="s">
        <v>60</v>
      </c>
      <c r="E35">
        <f t="shared" si="0"/>
        <v>24411.960103695248</v>
      </c>
      <c r="F35">
        <f t="shared" si="1"/>
        <v>24412</v>
      </c>
      <c r="G35">
        <f t="shared" si="3"/>
        <v>-3.177999999752501E-2</v>
      </c>
      <c r="K35">
        <f>+G35</f>
        <v>-3.177999999752501E-2</v>
      </c>
      <c r="Q35" s="2">
        <f t="shared" si="2"/>
        <v>33792.938000000002</v>
      </c>
    </row>
    <row r="36" spans="1:17" x14ac:dyDescent="0.2">
      <c r="A36" t="s">
        <v>30</v>
      </c>
      <c r="B36" s="5" t="s">
        <v>29</v>
      </c>
      <c r="C36" s="26">
        <v>49931.418799999999</v>
      </c>
      <c r="D36" s="22"/>
      <c r="E36">
        <f t="shared" si="0"/>
        <v>25817.973172308601</v>
      </c>
      <c r="F36">
        <f t="shared" si="1"/>
        <v>25818</v>
      </c>
      <c r="G36">
        <f t="shared" si="3"/>
        <v>-2.1370000002207235E-2</v>
      </c>
      <c r="J36">
        <f>+G36</f>
        <v>-2.1370000002207235E-2</v>
      </c>
      <c r="O36">
        <f t="shared" ref="O36:O50" ca="1" si="5">+C$11+C$12*$F36</f>
        <v>-2.6631762944616388E-3</v>
      </c>
      <c r="Q36" s="2">
        <f t="shared" si="2"/>
        <v>34912.918799999999</v>
      </c>
    </row>
    <row r="37" spans="1:17" x14ac:dyDescent="0.2">
      <c r="A37" t="s">
        <v>30</v>
      </c>
      <c r="B37" s="5" t="s">
        <v>29</v>
      </c>
      <c r="C37" s="26">
        <v>49978.415099999998</v>
      </c>
      <c r="D37" s="22"/>
      <c r="E37">
        <f t="shared" si="0"/>
        <v>25876.971872979608</v>
      </c>
      <c r="F37">
        <f t="shared" si="1"/>
        <v>25877</v>
      </c>
      <c r="G37">
        <f t="shared" si="3"/>
        <v>-2.2404999996069819E-2</v>
      </c>
      <c r="J37">
        <f>+G37</f>
        <v>-2.2404999996069819E-2</v>
      </c>
      <c r="O37">
        <f t="shared" ca="1" si="5"/>
        <v>-3.0634936306926375E-3</v>
      </c>
      <c r="Q37" s="2">
        <f t="shared" si="2"/>
        <v>34959.915099999998</v>
      </c>
    </row>
    <row r="38" spans="1:17" x14ac:dyDescent="0.2">
      <c r="A38" t="s">
        <v>28</v>
      </c>
      <c r="B38" s="5" t="s">
        <v>29</v>
      </c>
      <c r="C38" s="26">
        <v>50299.430699999997</v>
      </c>
      <c r="D38" s="22"/>
      <c r="E38">
        <f t="shared" si="0"/>
        <v>26279.971753717524</v>
      </c>
      <c r="F38">
        <f t="shared" si="1"/>
        <v>26280</v>
      </c>
      <c r="G38">
        <f t="shared" si="3"/>
        <v>-2.2499999999126885E-2</v>
      </c>
      <c r="J38">
        <f>+G38</f>
        <v>-2.2499999999126885E-2</v>
      </c>
      <c r="O38">
        <f t="shared" ca="1" si="5"/>
        <v>-5.7978645883382529E-3</v>
      </c>
      <c r="Q38" s="2">
        <f t="shared" si="2"/>
        <v>35280.930699999997</v>
      </c>
    </row>
    <row r="39" spans="1:17" x14ac:dyDescent="0.2">
      <c r="A39" s="10" t="s">
        <v>31</v>
      </c>
      <c r="B39" s="11"/>
      <c r="C39" s="24">
        <v>51811.306799999998</v>
      </c>
      <c r="D39" s="24">
        <v>5.9999999999999995E-4</v>
      </c>
      <c r="E39">
        <f t="shared" si="0"/>
        <v>28177.966393200808</v>
      </c>
      <c r="F39">
        <f t="shared" si="1"/>
        <v>28178</v>
      </c>
      <c r="G39">
        <f t="shared" si="3"/>
        <v>-2.6770000004034955E-2</v>
      </c>
      <c r="J39">
        <f>+G39</f>
        <v>-2.6770000004034955E-2</v>
      </c>
      <c r="O39">
        <f t="shared" ca="1" si="5"/>
        <v>-1.867586974370139E-2</v>
      </c>
      <c r="Q39" s="2">
        <f t="shared" si="2"/>
        <v>36792.806799999998</v>
      </c>
    </row>
    <row r="40" spans="1:17" x14ac:dyDescent="0.2">
      <c r="A40" s="12" t="s">
        <v>32</v>
      </c>
      <c r="B40" s="13" t="s">
        <v>29</v>
      </c>
      <c r="C40" s="25">
        <v>52496.3482</v>
      </c>
      <c r="D40" s="25">
        <v>2.9999999999999997E-4</v>
      </c>
      <c r="E40">
        <f t="shared" si="0"/>
        <v>29037.960743944313</v>
      </c>
      <c r="F40">
        <f t="shared" si="1"/>
        <v>29038</v>
      </c>
      <c r="G40">
        <f t="shared" si="3"/>
        <v>-3.1269999999494758E-2</v>
      </c>
      <c r="K40">
        <f>+G40</f>
        <v>-3.1269999999494758E-2</v>
      </c>
      <c r="O40">
        <f t="shared" ca="1" si="5"/>
        <v>-2.4511003797237918E-2</v>
      </c>
      <c r="Q40" s="2">
        <f t="shared" si="2"/>
        <v>37477.8482</v>
      </c>
    </row>
    <row r="41" spans="1:17" x14ac:dyDescent="0.2">
      <c r="A41" s="15" t="s">
        <v>33</v>
      </c>
      <c r="B41" s="16" t="s">
        <v>34</v>
      </c>
      <c r="C41" s="17">
        <v>52877.502500000002</v>
      </c>
      <c r="D41" s="17">
        <v>1E-4</v>
      </c>
      <c r="E41">
        <f t="shared" si="0"/>
        <v>29516.45816725566</v>
      </c>
      <c r="F41">
        <f t="shared" si="1"/>
        <v>29516.5</v>
      </c>
      <c r="G41">
        <f t="shared" si="3"/>
        <v>-3.3322499992209487E-2</v>
      </c>
      <c r="K41">
        <f>+G41</f>
        <v>-3.3322499992209487E-2</v>
      </c>
      <c r="O41">
        <f t="shared" ca="1" si="5"/>
        <v>-2.7757645244467249E-2</v>
      </c>
      <c r="Q41" s="2">
        <f t="shared" si="2"/>
        <v>37859.002500000002</v>
      </c>
    </row>
    <row r="42" spans="1:17" x14ac:dyDescent="0.2">
      <c r="A42" s="21" t="s">
        <v>37</v>
      </c>
      <c r="B42" s="11"/>
      <c r="C42" s="22">
        <v>53612.326999999997</v>
      </c>
      <c r="D42" s="22">
        <v>1E-3</v>
      </c>
      <c r="E42">
        <f t="shared" si="0"/>
        <v>30438.94974044805</v>
      </c>
      <c r="F42">
        <f t="shared" si="1"/>
        <v>30439</v>
      </c>
      <c r="G42">
        <f t="shared" si="3"/>
        <v>-4.0035000005445909E-2</v>
      </c>
      <c r="J42">
        <f>+G42</f>
        <v>-4.0035000005445909E-2</v>
      </c>
      <c r="O42">
        <f t="shared" ca="1" si="5"/>
        <v>-3.4016844272824726E-2</v>
      </c>
      <c r="Q42" s="2">
        <f t="shared" si="2"/>
        <v>38593.826999999997</v>
      </c>
    </row>
    <row r="43" spans="1:17" x14ac:dyDescent="0.2">
      <c r="A43" s="14" t="s">
        <v>160</v>
      </c>
      <c r="B43" s="5" t="s">
        <v>34</v>
      </c>
      <c r="C43" s="22">
        <v>53920.2048</v>
      </c>
      <c r="D43" s="22" t="s">
        <v>60</v>
      </c>
      <c r="E43">
        <f t="shared" si="0"/>
        <v>30825.456554079079</v>
      </c>
      <c r="F43">
        <f t="shared" si="1"/>
        <v>30825.5</v>
      </c>
      <c r="G43">
        <f t="shared" si="3"/>
        <v>-3.4607499997946434E-2</v>
      </c>
      <c r="K43">
        <f>+G43</f>
        <v>-3.4607499997946434E-2</v>
      </c>
      <c r="O43">
        <f t="shared" ca="1" si="5"/>
        <v>-3.6639262077117596E-2</v>
      </c>
      <c r="Q43" s="2">
        <f t="shared" si="2"/>
        <v>38901.7048</v>
      </c>
    </row>
    <row r="44" spans="1:17" x14ac:dyDescent="0.2">
      <c r="A44" s="14" t="s">
        <v>160</v>
      </c>
      <c r="B44" s="5" t="s">
        <v>29</v>
      </c>
      <c r="C44" s="22">
        <v>53950.0749</v>
      </c>
      <c r="D44" s="22" t="s">
        <v>60</v>
      </c>
      <c r="E44">
        <f t="shared" si="0"/>
        <v>30862.955188842094</v>
      </c>
      <c r="F44">
        <f t="shared" si="1"/>
        <v>30863</v>
      </c>
      <c r="G44">
        <f t="shared" si="3"/>
        <v>-3.5694999998668209E-2</v>
      </c>
      <c r="K44">
        <f>+G44</f>
        <v>-3.5694999998668209E-2</v>
      </c>
      <c r="O44">
        <f t="shared" ca="1" si="5"/>
        <v>-3.6893701062010176E-2</v>
      </c>
      <c r="Q44" s="2">
        <f t="shared" si="2"/>
        <v>38931.5749</v>
      </c>
    </row>
    <row r="45" spans="1:17" x14ac:dyDescent="0.2">
      <c r="A45" s="23" t="s">
        <v>43</v>
      </c>
      <c r="B45" s="16" t="s">
        <v>29</v>
      </c>
      <c r="C45" s="22">
        <v>54023.359400000001</v>
      </c>
      <c r="D45" s="22">
        <v>1.8E-3</v>
      </c>
      <c r="E45">
        <f t="shared" si="0"/>
        <v>30954.955841645067</v>
      </c>
      <c r="F45">
        <f t="shared" si="1"/>
        <v>30955</v>
      </c>
      <c r="G45">
        <f t="shared" si="3"/>
        <v>-3.5174999997252598E-2</v>
      </c>
      <c r="J45">
        <f>+G45</f>
        <v>-3.5174999997252598E-2</v>
      </c>
      <c r="O45">
        <f t="shared" ca="1" si="5"/>
        <v>-3.7517924704946637E-2</v>
      </c>
      <c r="Q45" s="2">
        <f t="shared" si="2"/>
        <v>39004.859400000001</v>
      </c>
    </row>
    <row r="46" spans="1:17" x14ac:dyDescent="0.2">
      <c r="A46" s="14" t="s">
        <v>176</v>
      </c>
      <c r="B46" s="5" t="s">
        <v>34</v>
      </c>
      <c r="C46" s="22">
        <v>54389.382100000003</v>
      </c>
      <c r="D46" s="22" t="s">
        <v>60</v>
      </c>
      <c r="E46">
        <f t="shared" si="0"/>
        <v>31414.457200605106</v>
      </c>
      <c r="F46">
        <f t="shared" si="1"/>
        <v>31414.5</v>
      </c>
      <c r="G46">
        <f t="shared" si="3"/>
        <v>-3.4092499990947545E-2</v>
      </c>
      <c r="K46">
        <f>+G46</f>
        <v>-3.4092499990947545E-2</v>
      </c>
      <c r="O46">
        <f t="shared" ca="1" si="5"/>
        <v>-4.0635650399830386E-2</v>
      </c>
      <c r="Q46" s="2">
        <f t="shared" si="2"/>
        <v>39370.882100000003</v>
      </c>
    </row>
    <row r="47" spans="1:17" x14ac:dyDescent="0.2">
      <c r="A47" s="14" t="s">
        <v>181</v>
      </c>
      <c r="B47" s="5" t="s">
        <v>34</v>
      </c>
      <c r="C47" s="22">
        <v>54663.390099999997</v>
      </c>
      <c r="D47" s="22" t="s">
        <v>60</v>
      </c>
      <c r="E47">
        <f t="shared" si="0"/>
        <v>31758.444194761254</v>
      </c>
      <c r="F47">
        <f t="shared" si="1"/>
        <v>31758.5</v>
      </c>
      <c r="G47">
        <f t="shared" si="3"/>
        <v>-4.4452499998442363E-2</v>
      </c>
      <c r="K47">
        <f>+G47</f>
        <v>-4.4452499998442363E-2</v>
      </c>
      <c r="O47">
        <f t="shared" ca="1" si="5"/>
        <v>-4.2969704021245003E-2</v>
      </c>
      <c r="Q47" s="2">
        <f t="shared" si="2"/>
        <v>39644.890099999997</v>
      </c>
    </row>
    <row r="48" spans="1:17" x14ac:dyDescent="0.2">
      <c r="A48" s="23" t="s">
        <v>49</v>
      </c>
      <c r="B48" s="23"/>
      <c r="C48" s="55">
        <v>55389.454299999998</v>
      </c>
      <c r="D48" s="55">
        <v>6.1000000000000004E-3</v>
      </c>
      <c r="E48" s="56">
        <f t="shared" si="0"/>
        <v>32669.938172026137</v>
      </c>
      <c r="F48">
        <f t="shared" si="1"/>
        <v>32670</v>
      </c>
      <c r="G48">
        <f t="shared" si="3"/>
        <v>-4.9249999996391125E-2</v>
      </c>
      <c r="J48">
        <f>+G48</f>
        <v>-4.9249999996391125E-2</v>
      </c>
      <c r="O48">
        <f t="shared" ca="1" si="5"/>
        <v>-4.9154267614033992E-2</v>
      </c>
      <c r="Q48" s="2">
        <f t="shared" si="2"/>
        <v>40370.954299999998</v>
      </c>
    </row>
    <row r="49" spans="1:17" x14ac:dyDescent="0.2">
      <c r="A49" s="23" t="s">
        <v>45</v>
      </c>
      <c r="B49" s="57" t="s">
        <v>29</v>
      </c>
      <c r="C49" s="55">
        <v>56094.403700000003</v>
      </c>
      <c r="D49" s="55">
        <v>2.2000000000000001E-3</v>
      </c>
      <c r="E49" s="56">
        <f t="shared" si="0"/>
        <v>33554.924833503865</v>
      </c>
      <c r="F49">
        <f t="shared" si="1"/>
        <v>33555</v>
      </c>
      <c r="G49">
        <f t="shared" si="3"/>
        <v>-5.987499999901047E-2</v>
      </c>
      <c r="J49">
        <f>+G49</f>
        <v>-5.987499999901047E-2</v>
      </c>
      <c r="O49">
        <f t="shared" ca="1" si="5"/>
        <v>-5.5159027657498888E-2</v>
      </c>
      <c r="Q49" s="2">
        <f t="shared" si="2"/>
        <v>41075.903700000003</v>
      </c>
    </row>
    <row r="50" spans="1:17" x14ac:dyDescent="0.2">
      <c r="A50" s="55" t="s">
        <v>200</v>
      </c>
      <c r="B50" s="57"/>
      <c r="C50" s="55" t="s">
        <v>201</v>
      </c>
      <c r="D50" s="55">
        <v>2.7000000000000001E-3</v>
      </c>
      <c r="E50" s="56">
        <f t="shared" si="0"/>
        <v>34955.915587554067</v>
      </c>
      <c r="F50">
        <f t="shared" si="1"/>
        <v>34956</v>
      </c>
      <c r="G50">
        <f t="shared" si="3"/>
        <v>-6.723999999667285E-2</v>
      </c>
      <c r="K50">
        <f t="shared" ref="K50:K55" si="6">+G50</f>
        <v>-6.723999999667285E-2</v>
      </c>
      <c r="O50">
        <f t="shared" ca="1" si="5"/>
        <v>-6.4664868133085696E-2</v>
      </c>
      <c r="Q50" s="2">
        <f t="shared" si="2"/>
        <v>42191.883900000001</v>
      </c>
    </row>
    <row r="51" spans="1:17" x14ac:dyDescent="0.2">
      <c r="A51" s="58" t="s">
        <v>2</v>
      </c>
      <c r="B51" s="59" t="s">
        <v>29</v>
      </c>
      <c r="C51" s="60">
        <v>57257.382100000003</v>
      </c>
      <c r="D51" s="60">
        <v>1.1000000000000001E-3</v>
      </c>
      <c r="E51" s="56">
        <f t="shared" ref="E51:E57" si="7">+(C51-C$7)/C$8</f>
        <v>35014.916673466701</v>
      </c>
      <c r="F51">
        <f t="shared" si="1"/>
        <v>35015</v>
      </c>
      <c r="G51">
        <f t="shared" ref="G51:G57" si="8">+C51-(C$7+F51*C$8)</f>
        <v>-6.6374999994877726E-2</v>
      </c>
      <c r="K51">
        <f t="shared" si="6"/>
        <v>-6.6374999994877726E-2</v>
      </c>
      <c r="O51">
        <f t="shared" ref="O51:O57" ca="1" si="9">+C$11+C$12*$F51</f>
        <v>-6.5065185469316694E-2</v>
      </c>
      <c r="Q51" s="2">
        <f t="shared" ref="Q51:Q57" si="10">+C51-15018.5</f>
        <v>42238.882100000003</v>
      </c>
    </row>
    <row r="52" spans="1:17" x14ac:dyDescent="0.2">
      <c r="A52" s="58" t="s">
        <v>2</v>
      </c>
      <c r="B52" s="59" t="s">
        <v>29</v>
      </c>
      <c r="C52" s="60">
        <v>57562.4643</v>
      </c>
      <c r="D52" s="60">
        <v>1.5E-3</v>
      </c>
      <c r="E52" s="56">
        <f t="shared" si="7"/>
        <v>35397.913917884922</v>
      </c>
      <c r="F52">
        <f t="shared" si="1"/>
        <v>35398</v>
      </c>
      <c r="G52">
        <f t="shared" si="8"/>
        <v>-6.8569999995816033E-2</v>
      </c>
      <c r="K52">
        <f t="shared" si="6"/>
        <v>-6.8569999995816033E-2</v>
      </c>
      <c r="O52">
        <f t="shared" ca="1" si="9"/>
        <v>-6.7663855635019587E-2</v>
      </c>
      <c r="Q52" s="2">
        <f t="shared" si="10"/>
        <v>42543.9643</v>
      </c>
    </row>
    <row r="53" spans="1:17" x14ac:dyDescent="0.2">
      <c r="A53" s="58" t="s">
        <v>2</v>
      </c>
      <c r="B53" s="59" t="s">
        <v>29</v>
      </c>
      <c r="C53" s="60">
        <v>57241.449399999998</v>
      </c>
      <c r="D53" s="60">
        <v>5.1999999999999998E-3</v>
      </c>
      <c r="E53" s="56">
        <f t="shared" si="7"/>
        <v>34994.914915920235</v>
      </c>
      <c r="F53">
        <f t="shared" si="1"/>
        <v>34995</v>
      </c>
      <c r="G53">
        <f t="shared" si="8"/>
        <v>-6.7775000003166497E-2</v>
      </c>
      <c r="K53">
        <f t="shared" si="6"/>
        <v>-6.7775000003166497E-2</v>
      </c>
      <c r="O53">
        <f t="shared" ca="1" si="9"/>
        <v>-6.4929484677374E-2</v>
      </c>
      <c r="Q53" s="2">
        <f t="shared" si="10"/>
        <v>42222.949399999998</v>
      </c>
    </row>
    <row r="54" spans="1:17" x14ac:dyDescent="0.2">
      <c r="A54" s="61" t="s">
        <v>1</v>
      </c>
      <c r="B54" s="62" t="s">
        <v>29</v>
      </c>
      <c r="C54" s="63">
        <v>57643.713000000003</v>
      </c>
      <c r="D54" s="63">
        <v>2.0000000000000001E-4</v>
      </c>
      <c r="E54" s="56">
        <f t="shared" si="7"/>
        <v>35499.912750371914</v>
      </c>
      <c r="F54">
        <f t="shared" si="1"/>
        <v>35500</v>
      </c>
      <c r="G54">
        <f t="shared" si="8"/>
        <v>-6.9499999997788109E-2</v>
      </c>
      <c r="K54">
        <f t="shared" si="6"/>
        <v>-6.9499999997788109E-2</v>
      </c>
      <c r="O54">
        <f t="shared" ca="1" si="9"/>
        <v>-6.8355929673927424E-2</v>
      </c>
      <c r="Q54" s="2">
        <f t="shared" si="10"/>
        <v>42625.213000000003</v>
      </c>
    </row>
    <row r="55" spans="1:17" x14ac:dyDescent="0.2">
      <c r="A55" s="64" t="s">
        <v>0</v>
      </c>
      <c r="B55" s="65" t="s">
        <v>29</v>
      </c>
      <c r="C55" s="66">
        <v>57940.438900000001</v>
      </c>
      <c r="D55" s="66">
        <v>6.4999999999999997E-3</v>
      </c>
      <c r="E55" s="56">
        <f t="shared" si="7"/>
        <v>35872.419576556844</v>
      </c>
      <c r="F55">
        <f t="shared" si="1"/>
        <v>35872.5</v>
      </c>
      <c r="G55">
        <f t="shared" si="8"/>
        <v>-6.4062500001455192E-2</v>
      </c>
      <c r="K55">
        <f t="shared" si="6"/>
        <v>-6.4062500001455192E-2</v>
      </c>
      <c r="O55">
        <f t="shared" ca="1" si="9"/>
        <v>-7.0883356923860386E-2</v>
      </c>
      <c r="Q55" s="2">
        <f t="shared" si="10"/>
        <v>42921.938900000001</v>
      </c>
    </row>
    <row r="56" spans="1:17" x14ac:dyDescent="0.2">
      <c r="A56" s="67" t="s">
        <v>202</v>
      </c>
      <c r="B56" s="68" t="s">
        <v>29</v>
      </c>
      <c r="C56" s="69">
        <v>58019.690499999997</v>
      </c>
      <c r="D56" s="69">
        <v>2.0000000000000001E-4</v>
      </c>
      <c r="E56" s="56">
        <f t="shared" si="7"/>
        <v>35971.911269011318</v>
      </c>
      <c r="F56">
        <f t="shared" si="1"/>
        <v>35972</v>
      </c>
      <c r="G56">
        <f t="shared" si="8"/>
        <v>-7.068000000435859E-2</v>
      </c>
      <c r="K56">
        <f>+G56</f>
        <v>-7.068000000435859E-2</v>
      </c>
      <c r="O56">
        <f t="shared" ca="1" si="9"/>
        <v>-7.1558468363775357E-2</v>
      </c>
      <c r="Q56" s="2">
        <f t="shared" si="10"/>
        <v>43001.190499999997</v>
      </c>
    </row>
    <row r="57" spans="1:17" x14ac:dyDescent="0.2">
      <c r="A57" s="70" t="s">
        <v>203</v>
      </c>
      <c r="B57" s="71" t="s">
        <v>29</v>
      </c>
      <c r="C57" s="72">
        <v>57934.459170000162</v>
      </c>
      <c r="D57" s="72">
        <v>2.9999999999999997E-4</v>
      </c>
      <c r="E57" s="56">
        <f t="shared" si="7"/>
        <v>35864.912681325644</v>
      </c>
      <c r="F57">
        <f t="shared" si="1"/>
        <v>35865</v>
      </c>
      <c r="G57">
        <f t="shared" si="8"/>
        <v>-6.9554999834508635E-2</v>
      </c>
      <c r="K57">
        <f>+G57</f>
        <v>-6.9554999834508635E-2</v>
      </c>
      <c r="O57">
        <f t="shared" ca="1" si="9"/>
        <v>-7.0832469126881875E-2</v>
      </c>
      <c r="Q57" s="2">
        <f t="shared" si="10"/>
        <v>42915.959170000162</v>
      </c>
    </row>
  </sheetData>
  <protectedRanges>
    <protectedRange sqref="A56:D57" name="Range1"/>
  </protectedRanges>
  <phoneticPr fontId="8" type="noConversion"/>
  <hyperlinks>
    <hyperlink ref="H3424" r:id="rId1" display="http://vsolj.cetus-net.org/bulletin.html"/>
    <hyperlink ref="H64843" r:id="rId2" display="http://vsolj.cetus-net.org/bulletin.html"/>
    <hyperlink ref="H64836" r:id="rId3" display="http://vsolj.cetus-net.org/bulletin.html"/>
    <hyperlink ref="AP2333" r:id="rId4" display="http://cdsbib.u-strasbg.fr/cgi-bin/cdsbib?1990RMxAA..21..381G"/>
    <hyperlink ref="AP2336" r:id="rId5" display="http://cdsbib.u-strasbg.fr/cgi-bin/cdsbib?1990RMxAA..21..381G"/>
    <hyperlink ref="AP2334" r:id="rId6" display="http://cdsbib.u-strasbg.fr/cgi-bin/cdsbib?1990RMxAA..21..381G"/>
    <hyperlink ref="AP2312" r:id="rId7" display="http://cdsbib.u-strasbg.fr/cgi-bin/cdsbib?1990RMxAA..21..381G"/>
    <hyperlink ref="I64843" r:id="rId8" display="http://vsolj.cetus-net.org/bulletin.html"/>
    <hyperlink ref="AQ2446" r:id="rId9" display="http://cdsbib.u-strasbg.fr/cgi-bin/cdsbib?1990RMxAA..21..381G"/>
    <hyperlink ref="AQ715" r:id="rId10" display="http://cdsbib.u-strasbg.fr/cgi-bin/cdsbib?1990RMxAA..21..381G"/>
    <hyperlink ref="AQ2447" r:id="rId11" display="http://cdsbib.u-strasbg.fr/cgi-bin/cdsbib?1990RMxAA..21..381G"/>
    <hyperlink ref="H64840" r:id="rId12" display="https://www.aavso.org/ejaavso"/>
    <hyperlink ref="H64859" r:id="rId13" display="http://vsolj.cetus-net.org/bulletin.html"/>
    <hyperlink ref="H64852" r:id="rId14" display="https://www.aavso.org/ejaavso"/>
    <hyperlink ref="AP1710" r:id="rId15" display="http://cdsbib.u-strasbg.fr/cgi-bin/cdsbib?1990RMxAA..21..381G"/>
    <hyperlink ref="AP1707" r:id="rId16" display="http://cdsbib.u-strasbg.fr/cgi-bin/cdsbib?1990RMxAA..21..381G"/>
    <hyperlink ref="AP1709" r:id="rId17" display="http://cdsbib.u-strasbg.fr/cgi-bin/cdsbib?1990RMxAA..21..381G"/>
    <hyperlink ref="AP1685" r:id="rId18" display="http://cdsbib.u-strasbg.fr/cgi-bin/cdsbib?1990RMxAA..21..381G"/>
    <hyperlink ref="I64859" r:id="rId19" display="http://vsolj.cetus-net.org/bulletin.html"/>
    <hyperlink ref="AQ1846" r:id="rId20" display="http://cdsbib.u-strasbg.fr/cgi-bin/cdsbib?1990RMxAA..21..381G"/>
    <hyperlink ref="AQ3490" r:id="rId21" display="http://cdsbib.u-strasbg.fr/cgi-bin/cdsbib?1990RMxAA..21..381G"/>
    <hyperlink ref="AQ1847" r:id="rId22" display="http://cdsbib.u-strasbg.fr/cgi-bin/cdsbib?1990RMxAA..21..381G"/>
    <hyperlink ref="H64856" r:id="rId23" display="https://www.aavso.org/ejaavso"/>
    <hyperlink ref="H2697" r:id="rId24" display="http://vsolj.cetus-net.org/bulletin.html"/>
    <hyperlink ref="AP5935" r:id="rId25" display="http://cdsbib.u-strasbg.fr/cgi-bin/cdsbib?1990RMxAA..21..381G"/>
    <hyperlink ref="AP5938" r:id="rId26" display="http://cdsbib.u-strasbg.fr/cgi-bin/cdsbib?1990RMxAA..21..381G"/>
    <hyperlink ref="AP5936" r:id="rId27" display="http://cdsbib.u-strasbg.fr/cgi-bin/cdsbib?1990RMxAA..21..381G"/>
    <hyperlink ref="AP5914" r:id="rId28" display="http://cdsbib.u-strasbg.fr/cgi-bin/cdsbib?1990RMxAA..21..381G"/>
    <hyperlink ref="I2697" r:id="rId29" display="http://vsolj.cetus-net.org/bulletin.html"/>
    <hyperlink ref="AQ6048" r:id="rId30" display="http://cdsbib.u-strasbg.fr/cgi-bin/cdsbib?1990RMxAA..21..381G"/>
    <hyperlink ref="AQ600" r:id="rId31" display="http://cdsbib.u-strasbg.fr/cgi-bin/cdsbib?1990RMxAA..21..381G"/>
    <hyperlink ref="AQ6049" r:id="rId32" display="http://cdsbib.u-strasbg.fr/cgi-bin/cdsbib?1990RMxAA..21..381G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9"/>
  <sheetViews>
    <sheetView workbookViewId="0">
      <selection activeCell="A22" sqref="A22:D40"/>
    </sheetView>
  </sheetViews>
  <sheetFormatPr defaultRowHeight="12.75" x14ac:dyDescent="0.2"/>
  <cols>
    <col min="1" max="1" width="19.7109375" style="22" customWidth="1"/>
    <col min="2" max="2" width="4.42578125" style="21" customWidth="1"/>
    <col min="3" max="3" width="12.7109375" style="22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22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2" t="s">
        <v>50</v>
      </c>
      <c r="I1" s="43" t="s">
        <v>51</v>
      </c>
      <c r="J1" s="44" t="s">
        <v>52</v>
      </c>
    </row>
    <row r="2" spans="1:16" x14ac:dyDescent="0.2">
      <c r="I2" s="45" t="s">
        <v>53</v>
      </c>
      <c r="J2" s="46" t="s">
        <v>54</v>
      </c>
    </row>
    <row r="3" spans="1:16" x14ac:dyDescent="0.2">
      <c r="A3" s="47" t="s">
        <v>55</v>
      </c>
      <c r="I3" s="45" t="s">
        <v>56</v>
      </c>
      <c r="J3" s="46" t="s">
        <v>57</v>
      </c>
    </row>
    <row r="4" spans="1:16" x14ac:dyDescent="0.2">
      <c r="I4" s="45" t="s">
        <v>58</v>
      </c>
      <c r="J4" s="46" t="s">
        <v>57</v>
      </c>
    </row>
    <row r="5" spans="1:16" ht="13.5" thickBot="1" x14ac:dyDescent="0.25">
      <c r="I5" s="48" t="s">
        <v>59</v>
      </c>
      <c r="J5" s="49" t="s">
        <v>60</v>
      </c>
    </row>
    <row r="10" spans="1:16" ht="13.5" thickBot="1" x14ac:dyDescent="0.25"/>
    <row r="11" spans="1:16" ht="12.75" customHeight="1" thickBot="1" x14ac:dyDescent="0.25">
      <c r="A11" s="22" t="str">
        <f t="shared" ref="A11:A40" si="0">P11</f>
        <v> PZ 10.404 </v>
      </c>
      <c r="B11" s="5" t="str">
        <f t="shared" ref="B11:B40" si="1">IF(H11=INT(H11),"I","II")</f>
        <v>I</v>
      </c>
      <c r="C11" s="22">
        <f t="shared" ref="C11:C40" si="2">1*G11</f>
        <v>29365.724999999999</v>
      </c>
      <c r="D11" s="21" t="str">
        <f t="shared" ref="D11:D40" si="3">VLOOKUP(F11,I$1:J$5,2,FALSE)</f>
        <v>vis</v>
      </c>
      <c r="E11" s="50">
        <f>VLOOKUP(C11,Active!C$21:E$973,3,FALSE)</f>
        <v>0</v>
      </c>
      <c r="F11" s="5" t="s">
        <v>59</v>
      </c>
      <c r="G11" s="21" t="str">
        <f t="shared" ref="G11:G40" si="4">MID(I11,3,LEN(I11)-3)</f>
        <v>29365.725</v>
      </c>
      <c r="H11" s="22">
        <f t="shared" ref="H11:H40" si="5">1*K11</f>
        <v>-32670</v>
      </c>
      <c r="I11" s="51" t="s">
        <v>82</v>
      </c>
      <c r="J11" s="52" t="s">
        <v>83</v>
      </c>
      <c r="K11" s="51">
        <v>-32670</v>
      </c>
      <c r="L11" s="51" t="s">
        <v>73</v>
      </c>
      <c r="M11" s="52" t="s">
        <v>61</v>
      </c>
      <c r="N11" s="52"/>
      <c r="O11" s="53" t="s">
        <v>80</v>
      </c>
      <c r="P11" s="53" t="s">
        <v>81</v>
      </c>
    </row>
    <row r="12" spans="1:16" ht="12.75" customHeight="1" thickBot="1" x14ac:dyDescent="0.25">
      <c r="A12" s="22" t="str">
        <f t="shared" si="0"/>
        <v>BAVM 91 </v>
      </c>
      <c r="B12" s="5" t="str">
        <f t="shared" si="1"/>
        <v>I</v>
      </c>
      <c r="C12" s="22">
        <f t="shared" si="2"/>
        <v>49931.418799999999</v>
      </c>
      <c r="D12" s="21" t="str">
        <f t="shared" si="3"/>
        <v>vis</v>
      </c>
      <c r="E12" s="50">
        <f>VLOOKUP(C12,Active!C$21:E$973,3,FALSE)</f>
        <v>25817.973172308601</v>
      </c>
      <c r="F12" s="5" t="s">
        <v>59</v>
      </c>
      <c r="G12" s="21" t="str">
        <f t="shared" si="4"/>
        <v>49931.4188</v>
      </c>
      <c r="H12" s="22">
        <f t="shared" si="5"/>
        <v>-6852</v>
      </c>
      <c r="I12" s="51" t="s">
        <v>115</v>
      </c>
      <c r="J12" s="52" t="s">
        <v>116</v>
      </c>
      <c r="K12" s="51">
        <v>-6852</v>
      </c>
      <c r="L12" s="51" t="s">
        <v>117</v>
      </c>
      <c r="M12" s="52" t="s">
        <v>118</v>
      </c>
      <c r="N12" s="52" t="s">
        <v>119</v>
      </c>
      <c r="O12" s="53" t="s">
        <v>120</v>
      </c>
      <c r="P12" s="54" t="s">
        <v>121</v>
      </c>
    </row>
    <row r="13" spans="1:16" ht="12.75" customHeight="1" thickBot="1" x14ac:dyDescent="0.25">
      <c r="A13" s="22" t="str">
        <f t="shared" si="0"/>
        <v>BAVM 91 </v>
      </c>
      <c r="B13" s="5" t="str">
        <f t="shared" si="1"/>
        <v>I</v>
      </c>
      <c r="C13" s="22">
        <f t="shared" si="2"/>
        <v>49978.415099999998</v>
      </c>
      <c r="D13" s="21" t="str">
        <f t="shared" si="3"/>
        <v>vis</v>
      </c>
      <c r="E13" s="50">
        <f>VLOOKUP(C13,Active!C$21:E$973,3,FALSE)</f>
        <v>25876.971872979608</v>
      </c>
      <c r="F13" s="5" t="s">
        <v>59</v>
      </c>
      <c r="G13" s="21" t="str">
        <f t="shared" si="4"/>
        <v>49978.4151</v>
      </c>
      <c r="H13" s="22">
        <f t="shared" si="5"/>
        <v>-6793</v>
      </c>
      <c r="I13" s="51" t="s">
        <v>122</v>
      </c>
      <c r="J13" s="52" t="s">
        <v>123</v>
      </c>
      <c r="K13" s="51">
        <v>-6793</v>
      </c>
      <c r="L13" s="51" t="s">
        <v>124</v>
      </c>
      <c r="M13" s="52" t="s">
        <v>118</v>
      </c>
      <c r="N13" s="52" t="s">
        <v>119</v>
      </c>
      <c r="O13" s="53" t="s">
        <v>125</v>
      </c>
      <c r="P13" s="54" t="s">
        <v>121</v>
      </c>
    </row>
    <row r="14" spans="1:16" ht="12.75" customHeight="1" thickBot="1" x14ac:dyDescent="0.25">
      <c r="A14" s="22" t="str">
        <f t="shared" si="0"/>
        <v>BAVM 99 </v>
      </c>
      <c r="B14" s="5" t="str">
        <f t="shared" si="1"/>
        <v>I</v>
      </c>
      <c r="C14" s="22">
        <f t="shared" si="2"/>
        <v>50299.430699999997</v>
      </c>
      <c r="D14" s="21" t="str">
        <f t="shared" si="3"/>
        <v>vis</v>
      </c>
      <c r="E14" s="50">
        <f>VLOOKUP(C14,Active!C$21:E$973,3,FALSE)</f>
        <v>26279.971753717524</v>
      </c>
      <c r="F14" s="5" t="s">
        <v>59</v>
      </c>
      <c r="G14" s="21" t="str">
        <f t="shared" si="4"/>
        <v>50299.4307</v>
      </c>
      <c r="H14" s="22">
        <f t="shared" si="5"/>
        <v>-6390</v>
      </c>
      <c r="I14" s="51" t="s">
        <v>126</v>
      </c>
      <c r="J14" s="52" t="s">
        <v>127</v>
      </c>
      <c r="K14" s="51">
        <v>-6390</v>
      </c>
      <c r="L14" s="51" t="s">
        <v>128</v>
      </c>
      <c r="M14" s="52" t="s">
        <v>118</v>
      </c>
      <c r="N14" s="52" t="s">
        <v>119</v>
      </c>
      <c r="O14" s="53" t="s">
        <v>120</v>
      </c>
      <c r="P14" s="54" t="s">
        <v>129</v>
      </c>
    </row>
    <row r="15" spans="1:16" ht="12.75" customHeight="1" thickBot="1" x14ac:dyDescent="0.25">
      <c r="A15" s="22" t="str">
        <f t="shared" si="0"/>
        <v>BAVM 152 </v>
      </c>
      <c r="B15" s="5" t="str">
        <f t="shared" si="1"/>
        <v>I</v>
      </c>
      <c r="C15" s="22">
        <f t="shared" si="2"/>
        <v>51811.306799999998</v>
      </c>
      <c r="D15" s="21" t="str">
        <f t="shared" si="3"/>
        <v>vis</v>
      </c>
      <c r="E15" s="50">
        <f>VLOOKUP(C15,Active!C$21:E$973,3,FALSE)</f>
        <v>28177.966393200808</v>
      </c>
      <c r="F15" s="5" t="s">
        <v>59</v>
      </c>
      <c r="G15" s="21" t="str">
        <f t="shared" si="4"/>
        <v>51811.3068</v>
      </c>
      <c r="H15" s="22">
        <f t="shared" si="5"/>
        <v>-4492</v>
      </c>
      <c r="I15" s="51" t="s">
        <v>130</v>
      </c>
      <c r="J15" s="52" t="s">
        <v>131</v>
      </c>
      <c r="K15" s="51">
        <v>-4492</v>
      </c>
      <c r="L15" s="51" t="s">
        <v>132</v>
      </c>
      <c r="M15" s="52" t="s">
        <v>118</v>
      </c>
      <c r="N15" s="52" t="s">
        <v>133</v>
      </c>
      <c r="O15" s="53" t="s">
        <v>120</v>
      </c>
      <c r="P15" s="54" t="s">
        <v>134</v>
      </c>
    </row>
    <row r="16" spans="1:16" ht="12.75" customHeight="1" thickBot="1" x14ac:dyDescent="0.25">
      <c r="A16" s="22" t="str">
        <f t="shared" si="0"/>
        <v>IBVS 5595 </v>
      </c>
      <c r="B16" s="5" t="str">
        <f t="shared" si="1"/>
        <v>I</v>
      </c>
      <c r="C16" s="22">
        <f t="shared" si="2"/>
        <v>52496.3482</v>
      </c>
      <c r="D16" s="21" t="str">
        <f t="shared" si="3"/>
        <v>vis</v>
      </c>
      <c r="E16" s="50">
        <f>VLOOKUP(C16,Active!C$21:E$973,3,FALSE)</f>
        <v>29037.960743944313</v>
      </c>
      <c r="F16" s="5" t="s">
        <v>59</v>
      </c>
      <c r="G16" s="21" t="str">
        <f t="shared" si="4"/>
        <v>52496.3482</v>
      </c>
      <c r="H16" s="22">
        <f t="shared" si="5"/>
        <v>-3632</v>
      </c>
      <c r="I16" s="51" t="s">
        <v>135</v>
      </c>
      <c r="J16" s="52" t="s">
        <v>136</v>
      </c>
      <c r="K16" s="51" t="s">
        <v>137</v>
      </c>
      <c r="L16" s="51" t="s">
        <v>138</v>
      </c>
      <c r="M16" s="52" t="s">
        <v>118</v>
      </c>
      <c r="N16" s="52" t="s">
        <v>139</v>
      </c>
      <c r="O16" s="53" t="s">
        <v>140</v>
      </c>
      <c r="P16" s="54" t="s">
        <v>141</v>
      </c>
    </row>
    <row r="17" spans="1:16" ht="12.75" customHeight="1" thickBot="1" x14ac:dyDescent="0.25">
      <c r="A17" s="22" t="str">
        <f t="shared" si="0"/>
        <v>IBVS 5676 </v>
      </c>
      <c r="B17" s="5" t="str">
        <f t="shared" si="1"/>
        <v>II</v>
      </c>
      <c r="C17" s="22">
        <f t="shared" si="2"/>
        <v>52877.502500000002</v>
      </c>
      <c r="D17" s="21" t="str">
        <f t="shared" si="3"/>
        <v>vis</v>
      </c>
      <c r="E17" s="50">
        <f>VLOOKUP(C17,Active!C$21:E$973,3,FALSE)</f>
        <v>29516.45816725566</v>
      </c>
      <c r="F17" s="5" t="s">
        <v>59</v>
      </c>
      <c r="G17" s="21" t="str">
        <f t="shared" si="4"/>
        <v>52877.5025</v>
      </c>
      <c r="H17" s="22">
        <f t="shared" si="5"/>
        <v>-3153.5</v>
      </c>
      <c r="I17" s="51" t="s">
        <v>142</v>
      </c>
      <c r="J17" s="52" t="s">
        <v>143</v>
      </c>
      <c r="K17" s="51" t="s">
        <v>144</v>
      </c>
      <c r="L17" s="51" t="s">
        <v>145</v>
      </c>
      <c r="M17" s="52" t="s">
        <v>118</v>
      </c>
      <c r="N17" s="52" t="s">
        <v>139</v>
      </c>
      <c r="O17" s="53" t="s">
        <v>146</v>
      </c>
      <c r="P17" s="54" t="s">
        <v>147</v>
      </c>
    </row>
    <row r="18" spans="1:16" ht="12.75" customHeight="1" thickBot="1" x14ac:dyDescent="0.25">
      <c r="A18" s="22" t="str">
        <f t="shared" si="0"/>
        <v>BAVM 178 </v>
      </c>
      <c r="B18" s="5" t="str">
        <f t="shared" si="1"/>
        <v>I</v>
      </c>
      <c r="C18" s="22">
        <f t="shared" si="2"/>
        <v>53612.326999999997</v>
      </c>
      <c r="D18" s="21" t="str">
        <f t="shared" si="3"/>
        <v>vis</v>
      </c>
      <c r="E18" s="50">
        <f>VLOOKUP(C18,Active!C$21:E$973,3,FALSE)</f>
        <v>30438.94974044805</v>
      </c>
      <c r="F18" s="5" t="s">
        <v>59</v>
      </c>
      <c r="G18" s="21" t="str">
        <f t="shared" si="4"/>
        <v>53612.327</v>
      </c>
      <c r="H18" s="22">
        <f t="shared" si="5"/>
        <v>-2231</v>
      </c>
      <c r="I18" s="51" t="s">
        <v>148</v>
      </c>
      <c r="J18" s="52" t="s">
        <v>149</v>
      </c>
      <c r="K18" s="51" t="s">
        <v>150</v>
      </c>
      <c r="L18" s="51" t="s">
        <v>151</v>
      </c>
      <c r="M18" s="52" t="s">
        <v>152</v>
      </c>
      <c r="N18" s="52" t="s">
        <v>133</v>
      </c>
      <c r="O18" s="53" t="s">
        <v>153</v>
      </c>
      <c r="P18" s="54" t="s">
        <v>154</v>
      </c>
    </row>
    <row r="19" spans="1:16" ht="12.75" customHeight="1" thickBot="1" x14ac:dyDescent="0.25">
      <c r="A19" s="22" t="str">
        <f t="shared" si="0"/>
        <v>BAVM 183 </v>
      </c>
      <c r="B19" s="5" t="str">
        <f t="shared" si="1"/>
        <v>I</v>
      </c>
      <c r="C19" s="22">
        <f t="shared" si="2"/>
        <v>54023.359400000001</v>
      </c>
      <c r="D19" s="21" t="str">
        <f t="shared" si="3"/>
        <v>vis</v>
      </c>
      <c r="E19" s="50">
        <f>VLOOKUP(C19,Active!C$21:E$973,3,FALSE)</f>
        <v>30954.955841645067</v>
      </c>
      <c r="F19" s="5" t="s">
        <v>59</v>
      </c>
      <c r="G19" s="21" t="str">
        <f t="shared" si="4"/>
        <v>54023.3594</v>
      </c>
      <c r="H19" s="22">
        <f t="shared" si="5"/>
        <v>-1715</v>
      </c>
      <c r="I19" s="51" t="s">
        <v>165</v>
      </c>
      <c r="J19" s="52" t="s">
        <v>166</v>
      </c>
      <c r="K19" s="51" t="s">
        <v>167</v>
      </c>
      <c r="L19" s="51" t="s">
        <v>168</v>
      </c>
      <c r="M19" s="52" t="s">
        <v>152</v>
      </c>
      <c r="N19" s="52" t="s">
        <v>133</v>
      </c>
      <c r="O19" s="53" t="s">
        <v>169</v>
      </c>
      <c r="P19" s="54" t="s">
        <v>170</v>
      </c>
    </row>
    <row r="20" spans="1:16" ht="12.75" customHeight="1" thickBot="1" x14ac:dyDescent="0.25">
      <c r="A20" s="22" t="str">
        <f t="shared" si="0"/>
        <v>BAVM 215 </v>
      </c>
      <c r="B20" s="5" t="str">
        <f t="shared" si="1"/>
        <v>I</v>
      </c>
      <c r="C20" s="22">
        <f t="shared" si="2"/>
        <v>55389.454299999998</v>
      </c>
      <c r="D20" s="21" t="str">
        <f t="shared" si="3"/>
        <v>vis</v>
      </c>
      <c r="E20" s="50">
        <f>VLOOKUP(C20,Active!C$21:E$973,3,FALSE)</f>
        <v>32669.938172026137</v>
      </c>
      <c r="F20" s="5" t="s">
        <v>59</v>
      </c>
      <c r="G20" s="21" t="str">
        <f t="shared" si="4"/>
        <v>55389.4543</v>
      </c>
      <c r="H20" s="22">
        <f t="shared" si="5"/>
        <v>0</v>
      </c>
      <c r="I20" s="51" t="s">
        <v>182</v>
      </c>
      <c r="J20" s="52" t="s">
        <v>183</v>
      </c>
      <c r="K20" s="51" t="s">
        <v>184</v>
      </c>
      <c r="L20" s="51" t="s">
        <v>185</v>
      </c>
      <c r="M20" s="52" t="s">
        <v>152</v>
      </c>
      <c r="N20" s="52" t="s">
        <v>133</v>
      </c>
      <c r="O20" s="53" t="s">
        <v>175</v>
      </c>
      <c r="P20" s="54" t="s">
        <v>186</v>
      </c>
    </row>
    <row r="21" spans="1:16" ht="12.75" customHeight="1" thickBot="1" x14ac:dyDescent="0.25">
      <c r="A21" s="22" t="str">
        <f t="shared" si="0"/>
        <v>BAVM 231 </v>
      </c>
      <c r="B21" s="5" t="str">
        <f t="shared" si="1"/>
        <v>I</v>
      </c>
      <c r="C21" s="22">
        <f t="shared" si="2"/>
        <v>56094.403700000003</v>
      </c>
      <c r="D21" s="21" t="str">
        <f t="shared" si="3"/>
        <v>vis</v>
      </c>
      <c r="E21" s="50">
        <f>VLOOKUP(C21,Active!C$21:E$973,3,FALSE)</f>
        <v>33554.924833503865</v>
      </c>
      <c r="F21" s="5" t="s">
        <v>59</v>
      </c>
      <c r="G21" s="21" t="str">
        <f t="shared" si="4"/>
        <v>56094.4037</v>
      </c>
      <c r="H21" s="22">
        <f t="shared" si="5"/>
        <v>885</v>
      </c>
      <c r="I21" s="51" t="s">
        <v>187</v>
      </c>
      <c r="J21" s="52" t="s">
        <v>188</v>
      </c>
      <c r="K21" s="51" t="s">
        <v>189</v>
      </c>
      <c r="L21" s="51" t="s">
        <v>190</v>
      </c>
      <c r="M21" s="52" t="s">
        <v>152</v>
      </c>
      <c r="N21" s="52" t="s">
        <v>133</v>
      </c>
      <c r="O21" s="53" t="s">
        <v>175</v>
      </c>
      <c r="P21" s="54" t="s">
        <v>191</v>
      </c>
    </row>
    <row r="22" spans="1:16" ht="12.75" customHeight="1" thickBot="1" x14ac:dyDescent="0.25">
      <c r="A22" s="22" t="str">
        <f t="shared" si="0"/>
        <v> SAC 30.104 </v>
      </c>
      <c r="B22" s="5" t="str">
        <f t="shared" si="1"/>
        <v>I</v>
      </c>
      <c r="C22" s="22">
        <f t="shared" si="2"/>
        <v>28779.45</v>
      </c>
      <c r="D22" s="21" t="str">
        <f t="shared" si="3"/>
        <v>vis</v>
      </c>
      <c r="E22" s="50">
        <f>VLOOKUP(C22,Active!C$21:E$973,3,FALSE)</f>
        <v>-736.00396703344711</v>
      </c>
      <c r="F22" s="5" t="s">
        <v>59</v>
      </c>
      <c r="G22" s="21" t="str">
        <f t="shared" si="4"/>
        <v>28779.450</v>
      </c>
      <c r="H22" s="22">
        <f t="shared" si="5"/>
        <v>-33406</v>
      </c>
      <c r="I22" s="51" t="s">
        <v>62</v>
      </c>
      <c r="J22" s="52" t="s">
        <v>63</v>
      </c>
      <c r="K22" s="51">
        <v>-33406</v>
      </c>
      <c r="L22" s="51" t="s">
        <v>64</v>
      </c>
      <c r="M22" s="52" t="s">
        <v>65</v>
      </c>
      <c r="N22" s="52"/>
      <c r="O22" s="53" t="s">
        <v>66</v>
      </c>
      <c r="P22" s="53" t="s">
        <v>67</v>
      </c>
    </row>
    <row r="23" spans="1:16" ht="12.75" customHeight="1" thickBot="1" x14ac:dyDescent="0.25">
      <c r="A23" s="22" t="str">
        <f t="shared" si="0"/>
        <v> SAC 30.104 </v>
      </c>
      <c r="B23" s="5" t="str">
        <f t="shared" si="1"/>
        <v>I</v>
      </c>
      <c r="C23" s="22">
        <f t="shared" si="2"/>
        <v>28811.32</v>
      </c>
      <c r="D23" s="21" t="str">
        <f t="shared" si="3"/>
        <v>vis</v>
      </c>
      <c r="E23" s="50">
        <f>VLOOKUP(C23,Active!C$21:E$973,3,FALSE)</f>
        <v>-695.99467714498985</v>
      </c>
      <c r="F23" s="5" t="s">
        <v>59</v>
      </c>
      <c r="G23" s="21" t="str">
        <f t="shared" si="4"/>
        <v>28811.320</v>
      </c>
      <c r="H23" s="22">
        <f t="shared" si="5"/>
        <v>-33366</v>
      </c>
      <c r="I23" s="51" t="s">
        <v>68</v>
      </c>
      <c r="J23" s="52" t="s">
        <v>69</v>
      </c>
      <c r="K23" s="51">
        <v>-33366</v>
      </c>
      <c r="L23" s="51" t="s">
        <v>70</v>
      </c>
      <c r="M23" s="52" t="s">
        <v>65</v>
      </c>
      <c r="N23" s="52"/>
      <c r="O23" s="53" t="s">
        <v>66</v>
      </c>
      <c r="P23" s="53" t="s">
        <v>67</v>
      </c>
    </row>
    <row r="24" spans="1:16" ht="12.75" customHeight="1" thickBot="1" x14ac:dyDescent="0.25">
      <c r="A24" s="22" t="str">
        <f t="shared" si="0"/>
        <v> SAC 30.104 </v>
      </c>
      <c r="B24" s="5" t="str">
        <f t="shared" si="1"/>
        <v>I</v>
      </c>
      <c r="C24" s="22">
        <f t="shared" si="2"/>
        <v>28827.25</v>
      </c>
      <c r="D24" s="21" t="str">
        <f t="shared" si="3"/>
        <v>vis</v>
      </c>
      <c r="E24" s="50">
        <f>VLOOKUP(C24,Active!C$21:E$973,3,FALSE)</f>
        <v>-675.99630915242142</v>
      </c>
      <c r="F24" s="5" t="s">
        <v>59</v>
      </c>
      <c r="G24" s="21" t="str">
        <f t="shared" si="4"/>
        <v>28827.250</v>
      </c>
      <c r="H24" s="22">
        <f t="shared" si="5"/>
        <v>-33346</v>
      </c>
      <c r="I24" s="51" t="s">
        <v>71</v>
      </c>
      <c r="J24" s="52" t="s">
        <v>72</v>
      </c>
      <c r="K24" s="51">
        <v>-33346</v>
      </c>
      <c r="L24" s="51" t="s">
        <v>73</v>
      </c>
      <c r="M24" s="52" t="s">
        <v>65</v>
      </c>
      <c r="N24" s="52"/>
      <c r="O24" s="53" t="s">
        <v>66</v>
      </c>
      <c r="P24" s="53" t="s">
        <v>67</v>
      </c>
    </row>
    <row r="25" spans="1:16" ht="12.75" customHeight="1" thickBot="1" x14ac:dyDescent="0.25">
      <c r="A25" s="22" t="str">
        <f t="shared" si="0"/>
        <v> SAC 30.104 </v>
      </c>
      <c r="B25" s="5" t="str">
        <f t="shared" si="1"/>
        <v>I</v>
      </c>
      <c r="C25" s="22">
        <f t="shared" si="2"/>
        <v>29104.477999999999</v>
      </c>
      <c r="D25" s="21" t="str">
        <f t="shared" si="3"/>
        <v>vis</v>
      </c>
      <c r="E25" s="50">
        <f>VLOOKUP(C25,Active!C$21:E$973,3,FALSE)</f>
        <v>-327.9669581264547</v>
      </c>
      <c r="F25" s="5" t="s">
        <v>59</v>
      </c>
      <c r="G25" s="21" t="str">
        <f t="shared" si="4"/>
        <v>29104.478</v>
      </c>
      <c r="H25" s="22">
        <f t="shared" si="5"/>
        <v>-32998</v>
      </c>
      <c r="I25" s="51" t="s">
        <v>74</v>
      </c>
      <c r="J25" s="52" t="s">
        <v>75</v>
      </c>
      <c r="K25" s="51">
        <v>-32998</v>
      </c>
      <c r="L25" s="51" t="s">
        <v>76</v>
      </c>
      <c r="M25" s="52" t="s">
        <v>65</v>
      </c>
      <c r="N25" s="52"/>
      <c r="O25" s="53" t="s">
        <v>66</v>
      </c>
      <c r="P25" s="53" t="s">
        <v>67</v>
      </c>
    </row>
    <row r="26" spans="1:16" ht="12.75" customHeight="1" thickBot="1" x14ac:dyDescent="0.25">
      <c r="A26" s="22" t="str">
        <f t="shared" si="0"/>
        <v> PZ 10.404 </v>
      </c>
      <c r="B26" s="5" t="str">
        <f t="shared" si="1"/>
        <v>II</v>
      </c>
      <c r="C26" s="22">
        <f t="shared" si="2"/>
        <v>29294.43</v>
      </c>
      <c r="D26" s="21" t="str">
        <f t="shared" si="3"/>
        <v>vis</v>
      </c>
      <c r="E26" s="50">
        <f>VLOOKUP(C26,Active!C$21:E$973,3,FALSE)</f>
        <v>-89.503053736980988</v>
      </c>
      <c r="F26" s="5" t="s">
        <v>59</v>
      </c>
      <c r="G26" s="21" t="str">
        <f t="shared" si="4"/>
        <v>29294.430</v>
      </c>
      <c r="H26" s="22">
        <f t="shared" si="5"/>
        <v>-32759.5</v>
      </c>
      <c r="I26" s="51" t="s">
        <v>77</v>
      </c>
      <c r="J26" s="52" t="s">
        <v>78</v>
      </c>
      <c r="K26" s="51">
        <v>-32759.5</v>
      </c>
      <c r="L26" s="51" t="s">
        <v>79</v>
      </c>
      <c r="M26" s="52" t="s">
        <v>61</v>
      </c>
      <c r="N26" s="52"/>
      <c r="O26" s="53" t="s">
        <v>80</v>
      </c>
      <c r="P26" s="53" t="s">
        <v>81</v>
      </c>
    </row>
    <row r="27" spans="1:16" ht="12.75" customHeight="1" thickBot="1" x14ac:dyDescent="0.25">
      <c r="A27" s="22" t="str">
        <f t="shared" si="0"/>
        <v> SAC 30.104 </v>
      </c>
      <c r="B27" s="5" t="str">
        <f t="shared" si="1"/>
        <v>I</v>
      </c>
      <c r="C27" s="22">
        <f t="shared" si="2"/>
        <v>31653.481</v>
      </c>
      <c r="D27" s="21" t="str">
        <f t="shared" si="3"/>
        <v>vis</v>
      </c>
      <c r="E27" s="50">
        <f>VLOOKUP(C27,Active!C$21:E$973,3,FALSE)</f>
        <v>2872.0267649218849</v>
      </c>
      <c r="F27" s="5" t="s">
        <v>59</v>
      </c>
      <c r="G27" s="21" t="str">
        <f t="shared" si="4"/>
        <v>31653.481</v>
      </c>
      <c r="H27" s="22">
        <f t="shared" si="5"/>
        <v>-29798</v>
      </c>
      <c r="I27" s="51" t="s">
        <v>84</v>
      </c>
      <c r="J27" s="52" t="s">
        <v>85</v>
      </c>
      <c r="K27" s="51">
        <v>-29798</v>
      </c>
      <c r="L27" s="51" t="s">
        <v>86</v>
      </c>
      <c r="M27" s="52" t="s">
        <v>65</v>
      </c>
      <c r="N27" s="52"/>
      <c r="O27" s="53" t="s">
        <v>66</v>
      </c>
      <c r="P27" s="53" t="s">
        <v>67</v>
      </c>
    </row>
    <row r="28" spans="1:16" ht="12.75" customHeight="1" thickBot="1" x14ac:dyDescent="0.25">
      <c r="A28" s="22" t="str">
        <f t="shared" si="0"/>
        <v> SAC 30.104 </v>
      </c>
      <c r="B28" s="5" t="str">
        <f t="shared" si="1"/>
        <v>I</v>
      </c>
      <c r="C28" s="22">
        <f t="shared" si="2"/>
        <v>32385.501</v>
      </c>
      <c r="D28" s="21" t="str">
        <f t="shared" si="3"/>
        <v>vis</v>
      </c>
      <c r="E28" s="50">
        <f>VLOOKUP(C28,Active!C$21:E$973,3,FALSE)</f>
        <v>3790.9975959275162</v>
      </c>
      <c r="F28" s="5" t="s">
        <v>59</v>
      </c>
      <c r="G28" s="21" t="str">
        <f t="shared" si="4"/>
        <v>32385.501</v>
      </c>
      <c r="H28" s="22">
        <f t="shared" si="5"/>
        <v>-28879</v>
      </c>
      <c r="I28" s="51" t="s">
        <v>87</v>
      </c>
      <c r="J28" s="52" t="s">
        <v>88</v>
      </c>
      <c r="K28" s="51">
        <v>-28879</v>
      </c>
      <c r="L28" s="51" t="s">
        <v>89</v>
      </c>
      <c r="M28" s="52" t="s">
        <v>65</v>
      </c>
      <c r="N28" s="52"/>
      <c r="O28" s="53" t="s">
        <v>66</v>
      </c>
      <c r="P28" s="53" t="s">
        <v>67</v>
      </c>
    </row>
    <row r="29" spans="1:16" ht="12.75" customHeight="1" thickBot="1" x14ac:dyDescent="0.25">
      <c r="A29" s="22" t="str">
        <f t="shared" si="0"/>
        <v> SAC 30.104 </v>
      </c>
      <c r="B29" s="5" t="str">
        <f t="shared" si="1"/>
        <v>I</v>
      </c>
      <c r="C29" s="22">
        <f t="shared" si="2"/>
        <v>33023.550000000003</v>
      </c>
      <c r="D29" s="21" t="str">
        <f t="shared" si="3"/>
        <v>vis</v>
      </c>
      <c r="E29" s="50">
        <f>VLOOKUP(C29,Active!C$21:E$973,3,FALSE)</f>
        <v>4591.9981420223139</v>
      </c>
      <c r="F29" s="5" t="s">
        <v>59</v>
      </c>
      <c r="G29" s="21" t="str">
        <f t="shared" si="4"/>
        <v>33023.550</v>
      </c>
      <c r="H29" s="22">
        <f t="shared" si="5"/>
        <v>-28078</v>
      </c>
      <c r="I29" s="51" t="s">
        <v>90</v>
      </c>
      <c r="J29" s="52" t="s">
        <v>91</v>
      </c>
      <c r="K29" s="51">
        <v>-28078</v>
      </c>
      <c r="L29" s="51" t="s">
        <v>92</v>
      </c>
      <c r="M29" s="52" t="s">
        <v>65</v>
      </c>
      <c r="N29" s="52"/>
      <c r="O29" s="53" t="s">
        <v>66</v>
      </c>
      <c r="P29" s="53" t="s">
        <v>67</v>
      </c>
    </row>
    <row r="30" spans="1:16" ht="12.75" customHeight="1" thickBot="1" x14ac:dyDescent="0.25">
      <c r="A30" s="22" t="str">
        <f t="shared" si="0"/>
        <v> SAC 30.104 </v>
      </c>
      <c r="B30" s="5" t="str">
        <f t="shared" si="1"/>
        <v>I</v>
      </c>
      <c r="C30" s="22">
        <f t="shared" si="2"/>
        <v>33850.377999999997</v>
      </c>
      <c r="D30" s="21" t="str">
        <f t="shared" si="3"/>
        <v>vis</v>
      </c>
      <c r="E30" s="50">
        <f>VLOOKUP(C30,Active!C$21:E$973,3,FALSE)</f>
        <v>5629.990019646857</v>
      </c>
      <c r="F30" s="5" t="s">
        <v>59</v>
      </c>
      <c r="G30" s="21" t="str">
        <f t="shared" si="4"/>
        <v>33850.378</v>
      </c>
      <c r="H30" s="22">
        <f t="shared" si="5"/>
        <v>-27040</v>
      </c>
      <c r="I30" s="51" t="s">
        <v>93</v>
      </c>
      <c r="J30" s="52" t="s">
        <v>94</v>
      </c>
      <c r="K30" s="51">
        <v>-27040</v>
      </c>
      <c r="L30" s="51" t="s">
        <v>95</v>
      </c>
      <c r="M30" s="52" t="s">
        <v>65</v>
      </c>
      <c r="N30" s="52"/>
      <c r="O30" s="53" t="s">
        <v>66</v>
      </c>
      <c r="P30" s="53" t="s">
        <v>67</v>
      </c>
    </row>
    <row r="31" spans="1:16" ht="12.75" customHeight="1" thickBot="1" x14ac:dyDescent="0.25">
      <c r="A31" s="22" t="str">
        <f t="shared" si="0"/>
        <v> SAC 30.104 </v>
      </c>
      <c r="B31" s="5" t="str">
        <f t="shared" si="1"/>
        <v>I</v>
      </c>
      <c r="C31" s="22">
        <f t="shared" si="2"/>
        <v>34649.33</v>
      </c>
      <c r="D31" s="21" t="str">
        <f t="shared" si="3"/>
        <v>vis</v>
      </c>
      <c r="E31" s="50">
        <f>VLOOKUP(C31,Active!C$21:E$973,3,FALSE)</f>
        <v>6632.9866363699175</v>
      </c>
      <c r="F31" s="5" t="s">
        <v>59</v>
      </c>
      <c r="G31" s="21" t="str">
        <f t="shared" si="4"/>
        <v>34649.330</v>
      </c>
      <c r="H31" s="22">
        <f t="shared" si="5"/>
        <v>-26037</v>
      </c>
      <c r="I31" s="51" t="s">
        <v>96</v>
      </c>
      <c r="J31" s="52" t="s">
        <v>97</v>
      </c>
      <c r="K31" s="51">
        <v>-26037</v>
      </c>
      <c r="L31" s="51" t="s">
        <v>98</v>
      </c>
      <c r="M31" s="52" t="s">
        <v>65</v>
      </c>
      <c r="N31" s="52"/>
      <c r="O31" s="53" t="s">
        <v>66</v>
      </c>
      <c r="P31" s="53" t="s">
        <v>67</v>
      </c>
    </row>
    <row r="32" spans="1:16" ht="12.75" customHeight="1" thickBot="1" x14ac:dyDescent="0.25">
      <c r="A32" s="22" t="str">
        <f t="shared" si="0"/>
        <v> SAC 30.104 </v>
      </c>
      <c r="B32" s="5" t="str">
        <f t="shared" si="1"/>
        <v>I</v>
      </c>
      <c r="C32" s="22">
        <f t="shared" si="2"/>
        <v>35698.398999999998</v>
      </c>
      <c r="D32" s="21" t="str">
        <f t="shared" si="3"/>
        <v>vis</v>
      </c>
      <c r="E32" s="50">
        <f>VLOOKUP(C32,Active!C$21:E$973,3,FALSE)</f>
        <v>7949.9777168216015</v>
      </c>
      <c r="F32" s="5" t="s">
        <v>59</v>
      </c>
      <c r="G32" s="21" t="str">
        <f t="shared" si="4"/>
        <v>35698.399</v>
      </c>
      <c r="H32" s="22">
        <f t="shared" si="5"/>
        <v>-24720</v>
      </c>
      <c r="I32" s="51" t="s">
        <v>99</v>
      </c>
      <c r="J32" s="52" t="s">
        <v>100</v>
      </c>
      <c r="K32" s="51">
        <v>-24720</v>
      </c>
      <c r="L32" s="51" t="s">
        <v>101</v>
      </c>
      <c r="M32" s="52" t="s">
        <v>65</v>
      </c>
      <c r="N32" s="52"/>
      <c r="O32" s="53" t="s">
        <v>66</v>
      </c>
      <c r="P32" s="53" t="s">
        <v>67</v>
      </c>
    </row>
    <row r="33" spans="1:16" ht="12.75" customHeight="1" thickBot="1" x14ac:dyDescent="0.25">
      <c r="A33" s="22" t="str">
        <f t="shared" si="0"/>
        <v> HABZ 21 </v>
      </c>
      <c r="B33" s="5" t="str">
        <f t="shared" si="1"/>
        <v>I</v>
      </c>
      <c r="C33" s="22">
        <f t="shared" si="2"/>
        <v>36818.375</v>
      </c>
      <c r="D33" s="21" t="str">
        <f t="shared" si="3"/>
        <v>vis</v>
      </c>
      <c r="E33" s="50">
        <f>VLOOKUP(C33,Active!C$21:E$973,3,FALSE)</f>
        <v>9355.9847595613683</v>
      </c>
      <c r="F33" s="5" t="s">
        <v>59</v>
      </c>
      <c r="G33" s="21" t="str">
        <f t="shared" si="4"/>
        <v>36818.375</v>
      </c>
      <c r="H33" s="22">
        <f t="shared" si="5"/>
        <v>-23314</v>
      </c>
      <c r="I33" s="51" t="s">
        <v>102</v>
      </c>
      <c r="J33" s="52" t="s">
        <v>103</v>
      </c>
      <c r="K33" s="51">
        <v>-23314</v>
      </c>
      <c r="L33" s="51" t="s">
        <v>104</v>
      </c>
      <c r="M33" s="52" t="s">
        <v>105</v>
      </c>
      <c r="N33" s="52"/>
      <c r="O33" s="53" t="s">
        <v>106</v>
      </c>
      <c r="P33" s="53" t="s">
        <v>107</v>
      </c>
    </row>
    <row r="34" spans="1:16" ht="12.75" customHeight="1" thickBot="1" x14ac:dyDescent="0.25">
      <c r="A34" s="22" t="str">
        <f t="shared" si="0"/>
        <v> HABZ 21 </v>
      </c>
      <c r="B34" s="5" t="str">
        <f t="shared" si="1"/>
        <v>I</v>
      </c>
      <c r="C34" s="22">
        <f t="shared" si="2"/>
        <v>37146.548999999999</v>
      </c>
      <c r="D34" s="21" t="str">
        <f t="shared" si="3"/>
        <v>vis</v>
      </c>
      <c r="E34" s="50">
        <f>VLOOKUP(C34,Active!C$21:E$973,3,FALSE)</f>
        <v>9767.9712264535865</v>
      </c>
      <c r="F34" s="5" t="s">
        <v>59</v>
      </c>
      <c r="G34" s="21" t="str">
        <f t="shared" si="4"/>
        <v>37146.549</v>
      </c>
      <c r="H34" s="22">
        <f t="shared" si="5"/>
        <v>-22902</v>
      </c>
      <c r="I34" s="51" t="s">
        <v>108</v>
      </c>
      <c r="J34" s="52" t="s">
        <v>109</v>
      </c>
      <c r="K34" s="51">
        <v>-22902</v>
      </c>
      <c r="L34" s="51" t="s">
        <v>92</v>
      </c>
      <c r="M34" s="52" t="s">
        <v>105</v>
      </c>
      <c r="N34" s="52"/>
      <c r="O34" s="53" t="s">
        <v>106</v>
      </c>
      <c r="P34" s="53" t="s">
        <v>107</v>
      </c>
    </row>
    <row r="35" spans="1:16" ht="12.75" customHeight="1" thickBot="1" x14ac:dyDescent="0.25">
      <c r="A35" s="22" t="str">
        <f t="shared" si="0"/>
        <v>BAVM 93 </v>
      </c>
      <c r="B35" s="5" t="str">
        <f t="shared" si="1"/>
        <v>I</v>
      </c>
      <c r="C35" s="22">
        <f t="shared" si="2"/>
        <v>48811.438000000002</v>
      </c>
      <c r="D35" s="21" t="str">
        <f t="shared" si="3"/>
        <v>vis</v>
      </c>
      <c r="E35" s="50">
        <f>VLOOKUP(C35,Active!C$21:E$973,3,FALSE)</f>
        <v>24411.960103695248</v>
      </c>
      <c r="F35" s="5" t="s">
        <v>59</v>
      </c>
      <c r="G35" s="21" t="str">
        <f t="shared" si="4"/>
        <v>48811.438</v>
      </c>
      <c r="H35" s="22">
        <f t="shared" si="5"/>
        <v>-8258</v>
      </c>
      <c r="I35" s="51" t="s">
        <v>110</v>
      </c>
      <c r="J35" s="52" t="s">
        <v>111</v>
      </c>
      <c r="K35" s="51">
        <v>-8258</v>
      </c>
      <c r="L35" s="51" t="s">
        <v>112</v>
      </c>
      <c r="M35" s="52" t="s">
        <v>61</v>
      </c>
      <c r="N35" s="52"/>
      <c r="O35" s="53" t="s">
        <v>113</v>
      </c>
      <c r="P35" s="54" t="s">
        <v>114</v>
      </c>
    </row>
    <row r="36" spans="1:16" ht="12.75" customHeight="1" thickBot="1" x14ac:dyDescent="0.25">
      <c r="A36" s="22" t="str">
        <f t="shared" si="0"/>
        <v>VSB 45 </v>
      </c>
      <c r="B36" s="5" t="str">
        <f t="shared" si="1"/>
        <v>II</v>
      </c>
      <c r="C36" s="22">
        <f t="shared" si="2"/>
        <v>53920.2048</v>
      </c>
      <c r="D36" s="21" t="str">
        <f t="shared" si="3"/>
        <v>vis</v>
      </c>
      <c r="E36" s="50">
        <f>VLOOKUP(C36,Active!C$21:E$973,3,FALSE)</f>
        <v>30825.456554079079</v>
      </c>
      <c r="F36" s="5" t="s">
        <v>59</v>
      </c>
      <c r="G36" s="21" t="str">
        <f t="shared" si="4"/>
        <v>53920.2048</v>
      </c>
      <c r="H36" s="22">
        <f t="shared" si="5"/>
        <v>-1844.5</v>
      </c>
      <c r="I36" s="51" t="s">
        <v>155</v>
      </c>
      <c r="J36" s="52" t="s">
        <v>156</v>
      </c>
      <c r="K36" s="51" t="s">
        <v>157</v>
      </c>
      <c r="L36" s="51" t="s">
        <v>158</v>
      </c>
      <c r="M36" s="52" t="s">
        <v>118</v>
      </c>
      <c r="N36" s="52" t="s">
        <v>139</v>
      </c>
      <c r="O36" s="53" t="s">
        <v>159</v>
      </c>
      <c r="P36" s="54" t="s">
        <v>160</v>
      </c>
    </row>
    <row r="37" spans="1:16" ht="12.75" customHeight="1" thickBot="1" x14ac:dyDescent="0.25">
      <c r="A37" s="22" t="str">
        <f t="shared" si="0"/>
        <v>VSB 45 </v>
      </c>
      <c r="B37" s="5" t="str">
        <f t="shared" si="1"/>
        <v>I</v>
      </c>
      <c r="C37" s="22">
        <f t="shared" si="2"/>
        <v>53950.0749</v>
      </c>
      <c r="D37" s="21" t="str">
        <f t="shared" si="3"/>
        <v>vis</v>
      </c>
      <c r="E37" s="50">
        <f>VLOOKUP(C37,Active!C$21:E$973,3,FALSE)</f>
        <v>30862.955188842094</v>
      </c>
      <c r="F37" s="5" t="s">
        <v>59</v>
      </c>
      <c r="G37" s="21" t="str">
        <f t="shared" si="4"/>
        <v>53950.0749</v>
      </c>
      <c r="H37" s="22">
        <f t="shared" si="5"/>
        <v>-1807</v>
      </c>
      <c r="I37" s="51" t="s">
        <v>161</v>
      </c>
      <c r="J37" s="52" t="s">
        <v>162</v>
      </c>
      <c r="K37" s="51" t="s">
        <v>163</v>
      </c>
      <c r="L37" s="51" t="s">
        <v>164</v>
      </c>
      <c r="M37" s="52" t="s">
        <v>118</v>
      </c>
      <c r="N37" s="52" t="s">
        <v>139</v>
      </c>
      <c r="O37" s="53" t="s">
        <v>159</v>
      </c>
      <c r="P37" s="54" t="s">
        <v>160</v>
      </c>
    </row>
    <row r="38" spans="1:16" ht="12.75" customHeight="1" thickBot="1" x14ac:dyDescent="0.25">
      <c r="A38" s="22" t="str">
        <f t="shared" si="0"/>
        <v>BAVM 193 </v>
      </c>
      <c r="B38" s="5" t="str">
        <f t="shared" si="1"/>
        <v>II</v>
      </c>
      <c r="C38" s="22">
        <f t="shared" si="2"/>
        <v>54389.382100000003</v>
      </c>
      <c r="D38" s="21" t="str">
        <f t="shared" si="3"/>
        <v>vis</v>
      </c>
      <c r="E38" s="50">
        <f>VLOOKUP(C38,Active!C$21:E$973,3,FALSE)</f>
        <v>31414.457200605106</v>
      </c>
      <c r="F38" s="5" t="s">
        <v>59</v>
      </c>
      <c r="G38" s="21" t="str">
        <f t="shared" si="4"/>
        <v>54389.3821</v>
      </c>
      <c r="H38" s="22">
        <f t="shared" si="5"/>
        <v>-1255.5</v>
      </c>
      <c r="I38" s="51" t="s">
        <v>171</v>
      </c>
      <c r="J38" s="52" t="s">
        <v>172</v>
      </c>
      <c r="K38" s="51" t="s">
        <v>173</v>
      </c>
      <c r="L38" s="51" t="s">
        <v>174</v>
      </c>
      <c r="M38" s="52" t="s">
        <v>152</v>
      </c>
      <c r="N38" s="52" t="s">
        <v>133</v>
      </c>
      <c r="O38" s="53" t="s">
        <v>175</v>
      </c>
      <c r="P38" s="54" t="s">
        <v>176</v>
      </c>
    </row>
    <row r="39" spans="1:16" ht="12.75" customHeight="1" thickBot="1" x14ac:dyDescent="0.25">
      <c r="A39" s="22" t="str">
        <f t="shared" si="0"/>
        <v>BAVM 203 </v>
      </c>
      <c r="B39" s="5" t="str">
        <f t="shared" si="1"/>
        <v>II</v>
      </c>
      <c r="C39" s="22">
        <f t="shared" si="2"/>
        <v>54663.390099999997</v>
      </c>
      <c r="D39" s="21" t="str">
        <f t="shared" si="3"/>
        <v>vis</v>
      </c>
      <c r="E39" s="50">
        <f>VLOOKUP(C39,Active!C$21:E$973,3,FALSE)</f>
        <v>31758.444194761254</v>
      </c>
      <c r="F39" s="5" t="s">
        <v>59</v>
      </c>
      <c r="G39" s="21" t="str">
        <f t="shared" si="4"/>
        <v>54663.3901</v>
      </c>
      <c r="H39" s="22">
        <f t="shared" si="5"/>
        <v>-911.5</v>
      </c>
      <c r="I39" s="51" t="s">
        <v>177</v>
      </c>
      <c r="J39" s="52" t="s">
        <v>178</v>
      </c>
      <c r="K39" s="51" t="s">
        <v>179</v>
      </c>
      <c r="L39" s="51" t="s">
        <v>180</v>
      </c>
      <c r="M39" s="52" t="s">
        <v>152</v>
      </c>
      <c r="N39" s="52" t="s">
        <v>133</v>
      </c>
      <c r="O39" s="53" t="s">
        <v>175</v>
      </c>
      <c r="P39" s="54" t="s">
        <v>181</v>
      </c>
    </row>
    <row r="40" spans="1:16" ht="12.75" customHeight="1" thickBot="1" x14ac:dyDescent="0.25">
      <c r="A40" s="22" t="str">
        <f t="shared" si="0"/>
        <v>BAVM 241 (=IBVS 6157) </v>
      </c>
      <c r="B40" s="5" t="str">
        <f t="shared" si="1"/>
        <v>I</v>
      </c>
      <c r="C40" s="22">
        <f t="shared" si="2"/>
        <v>57210.383900000001</v>
      </c>
      <c r="D40" s="21" t="str">
        <f t="shared" si="3"/>
        <v>vis</v>
      </c>
      <c r="E40" s="50" t="e">
        <f>VLOOKUP(C40,Active!C$21:E$973,3,FALSE)</f>
        <v>#N/A</v>
      </c>
      <c r="F40" s="5" t="s">
        <v>59</v>
      </c>
      <c r="G40" s="21" t="str">
        <f t="shared" si="4"/>
        <v>57210.3839</v>
      </c>
      <c r="H40" s="22">
        <f t="shared" si="5"/>
        <v>2286</v>
      </c>
      <c r="I40" s="51" t="s">
        <v>192</v>
      </c>
      <c r="J40" s="52" t="s">
        <v>193</v>
      </c>
      <c r="K40" s="51" t="s">
        <v>194</v>
      </c>
      <c r="L40" s="51" t="s">
        <v>195</v>
      </c>
      <c r="M40" s="52" t="s">
        <v>152</v>
      </c>
      <c r="N40" s="52" t="s">
        <v>133</v>
      </c>
      <c r="O40" s="53" t="s">
        <v>175</v>
      </c>
      <c r="P40" s="54" t="s">
        <v>196</v>
      </c>
    </row>
    <row r="41" spans="1:16" x14ac:dyDescent="0.2">
      <c r="B41" s="5"/>
      <c r="E41" s="50"/>
      <c r="F41" s="5"/>
    </row>
    <row r="42" spans="1:16" x14ac:dyDescent="0.2">
      <c r="B42" s="5"/>
      <c r="E42" s="50"/>
      <c r="F42" s="5"/>
    </row>
    <row r="43" spans="1:16" x14ac:dyDescent="0.2">
      <c r="B43" s="5"/>
      <c r="E43" s="50"/>
      <c r="F43" s="5"/>
    </row>
    <row r="44" spans="1:16" x14ac:dyDescent="0.2">
      <c r="B44" s="5"/>
      <c r="E44" s="50"/>
      <c r="F44" s="5"/>
    </row>
    <row r="45" spans="1:16" x14ac:dyDescent="0.2">
      <c r="B45" s="5"/>
      <c r="E45" s="50"/>
      <c r="F45" s="5"/>
    </row>
    <row r="46" spans="1:16" x14ac:dyDescent="0.2">
      <c r="B46" s="5"/>
      <c r="E46" s="50"/>
      <c r="F46" s="5"/>
    </row>
    <row r="47" spans="1:16" x14ac:dyDescent="0.2">
      <c r="B47" s="5"/>
      <c r="E47" s="50"/>
      <c r="F47" s="5"/>
    </row>
    <row r="48" spans="1:16" x14ac:dyDescent="0.2">
      <c r="B48" s="5"/>
      <c r="E48" s="50"/>
      <c r="F48" s="5"/>
    </row>
    <row r="49" spans="2:6" x14ac:dyDescent="0.2">
      <c r="B49" s="5"/>
      <c r="E49" s="50"/>
      <c r="F49" s="5"/>
    </row>
    <row r="50" spans="2:6" x14ac:dyDescent="0.2">
      <c r="B50" s="5"/>
      <c r="E50" s="50"/>
      <c r="F50" s="5"/>
    </row>
    <row r="51" spans="2:6" x14ac:dyDescent="0.2">
      <c r="B51" s="5"/>
      <c r="E51" s="50"/>
      <c r="F51" s="5"/>
    </row>
    <row r="52" spans="2:6" x14ac:dyDescent="0.2">
      <c r="B52" s="5"/>
      <c r="E52" s="50"/>
      <c r="F52" s="5"/>
    </row>
    <row r="53" spans="2:6" x14ac:dyDescent="0.2">
      <c r="B53" s="5"/>
      <c r="E53" s="50"/>
      <c r="F53" s="5"/>
    </row>
    <row r="54" spans="2:6" x14ac:dyDescent="0.2">
      <c r="B54" s="5"/>
      <c r="E54" s="50"/>
      <c r="F54" s="5"/>
    </row>
    <row r="55" spans="2:6" x14ac:dyDescent="0.2">
      <c r="B55" s="5"/>
      <c r="E55" s="50"/>
      <c r="F55" s="5"/>
    </row>
    <row r="56" spans="2:6" x14ac:dyDescent="0.2">
      <c r="B56" s="5"/>
      <c r="E56" s="50"/>
      <c r="F56" s="5"/>
    </row>
    <row r="57" spans="2:6" x14ac:dyDescent="0.2">
      <c r="B57" s="5"/>
      <c r="E57" s="50"/>
      <c r="F57" s="5"/>
    </row>
    <row r="58" spans="2:6" x14ac:dyDescent="0.2">
      <c r="B58" s="5"/>
      <c r="E58" s="50"/>
      <c r="F58" s="5"/>
    </row>
    <row r="59" spans="2:6" x14ac:dyDescent="0.2">
      <c r="B59" s="5"/>
      <c r="E59" s="50"/>
      <c r="F59" s="5"/>
    </row>
    <row r="60" spans="2:6" x14ac:dyDescent="0.2">
      <c r="B60" s="5"/>
      <c r="E60" s="50"/>
      <c r="F60" s="5"/>
    </row>
    <row r="61" spans="2:6" x14ac:dyDescent="0.2">
      <c r="B61" s="5"/>
      <c r="E61" s="50"/>
      <c r="F61" s="5"/>
    </row>
    <row r="62" spans="2:6" x14ac:dyDescent="0.2">
      <c r="B62" s="5"/>
      <c r="E62" s="50"/>
      <c r="F62" s="5"/>
    </row>
    <row r="63" spans="2:6" x14ac:dyDescent="0.2">
      <c r="B63" s="5"/>
      <c r="E63" s="50"/>
      <c r="F63" s="5"/>
    </row>
    <row r="64" spans="2:6" x14ac:dyDescent="0.2">
      <c r="B64" s="5"/>
      <c r="E64" s="50"/>
      <c r="F64" s="5"/>
    </row>
    <row r="65" spans="2:6" x14ac:dyDescent="0.2">
      <c r="B65" s="5"/>
      <c r="E65" s="50"/>
      <c r="F65" s="5"/>
    </row>
    <row r="66" spans="2:6" x14ac:dyDescent="0.2">
      <c r="B66" s="5"/>
      <c r="E66" s="50"/>
      <c r="F66" s="5"/>
    </row>
    <row r="67" spans="2:6" x14ac:dyDescent="0.2">
      <c r="B67" s="5"/>
      <c r="E67" s="50"/>
      <c r="F67" s="5"/>
    </row>
    <row r="68" spans="2:6" x14ac:dyDescent="0.2">
      <c r="B68" s="5"/>
      <c r="E68" s="50"/>
      <c r="F68" s="5"/>
    </row>
    <row r="69" spans="2:6" x14ac:dyDescent="0.2">
      <c r="B69" s="5"/>
      <c r="E69" s="50"/>
      <c r="F69" s="5"/>
    </row>
    <row r="70" spans="2:6" x14ac:dyDescent="0.2">
      <c r="B70" s="5"/>
      <c r="E70" s="50"/>
      <c r="F70" s="5"/>
    </row>
    <row r="71" spans="2:6" x14ac:dyDescent="0.2">
      <c r="B71" s="5"/>
      <c r="E71" s="50"/>
      <c r="F71" s="5"/>
    </row>
    <row r="72" spans="2:6" x14ac:dyDescent="0.2">
      <c r="B72" s="5"/>
      <c r="E72" s="50"/>
      <c r="F72" s="5"/>
    </row>
    <row r="73" spans="2:6" x14ac:dyDescent="0.2">
      <c r="B73" s="5"/>
      <c r="E73" s="50"/>
      <c r="F73" s="5"/>
    </row>
    <row r="74" spans="2:6" x14ac:dyDescent="0.2">
      <c r="B74" s="5"/>
      <c r="E74" s="50"/>
      <c r="F74" s="5"/>
    </row>
    <row r="75" spans="2:6" x14ac:dyDescent="0.2">
      <c r="B75" s="5"/>
      <c r="E75" s="50"/>
      <c r="F75" s="5"/>
    </row>
    <row r="76" spans="2:6" x14ac:dyDescent="0.2">
      <c r="B76" s="5"/>
      <c r="E76" s="50"/>
      <c r="F76" s="5"/>
    </row>
    <row r="77" spans="2:6" x14ac:dyDescent="0.2">
      <c r="B77" s="5"/>
      <c r="E77" s="50"/>
      <c r="F77" s="5"/>
    </row>
    <row r="78" spans="2:6" x14ac:dyDescent="0.2">
      <c r="B78" s="5"/>
      <c r="E78" s="50"/>
      <c r="F78" s="5"/>
    </row>
    <row r="79" spans="2:6" x14ac:dyDescent="0.2">
      <c r="B79" s="5"/>
      <c r="E79" s="50"/>
      <c r="F79" s="5"/>
    </row>
    <row r="80" spans="2:6" x14ac:dyDescent="0.2">
      <c r="B80" s="5"/>
      <c r="E80" s="50"/>
      <c r="F80" s="5"/>
    </row>
    <row r="81" spans="2:6" x14ac:dyDescent="0.2">
      <c r="B81" s="5"/>
      <c r="E81" s="50"/>
      <c r="F81" s="5"/>
    </row>
    <row r="82" spans="2:6" x14ac:dyDescent="0.2">
      <c r="B82" s="5"/>
      <c r="E82" s="50"/>
      <c r="F82" s="5"/>
    </row>
    <row r="83" spans="2:6" x14ac:dyDescent="0.2">
      <c r="B83" s="5"/>
      <c r="E83" s="50"/>
      <c r="F83" s="5"/>
    </row>
    <row r="84" spans="2:6" x14ac:dyDescent="0.2">
      <c r="B84" s="5"/>
      <c r="E84" s="50"/>
      <c r="F84" s="5"/>
    </row>
    <row r="85" spans="2:6" x14ac:dyDescent="0.2">
      <c r="B85" s="5"/>
      <c r="E85" s="50"/>
      <c r="F85" s="5"/>
    </row>
    <row r="86" spans="2:6" x14ac:dyDescent="0.2">
      <c r="B86" s="5"/>
      <c r="E86" s="50"/>
      <c r="F86" s="5"/>
    </row>
    <row r="87" spans="2:6" x14ac:dyDescent="0.2">
      <c r="B87" s="5"/>
      <c r="E87" s="50"/>
      <c r="F87" s="5"/>
    </row>
    <row r="88" spans="2:6" x14ac:dyDescent="0.2">
      <c r="B88" s="5"/>
      <c r="E88" s="50"/>
      <c r="F88" s="5"/>
    </row>
    <row r="89" spans="2:6" x14ac:dyDescent="0.2">
      <c r="B89" s="5"/>
      <c r="E89" s="50"/>
      <c r="F89" s="5"/>
    </row>
    <row r="90" spans="2:6" x14ac:dyDescent="0.2">
      <c r="B90" s="5"/>
      <c r="E90" s="50"/>
      <c r="F90" s="5"/>
    </row>
    <row r="91" spans="2:6" x14ac:dyDescent="0.2">
      <c r="B91" s="5"/>
      <c r="E91" s="50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</sheetData>
  <phoneticPr fontId="8" type="noConversion"/>
  <hyperlinks>
    <hyperlink ref="A3" r:id="rId1"/>
    <hyperlink ref="P35" r:id="rId2" display="http://www.bav-astro.de/sfs/BAVM_link.php?BAVMnr=93"/>
    <hyperlink ref="P12" r:id="rId3" display="http://www.bav-astro.de/sfs/BAVM_link.php?BAVMnr=91"/>
    <hyperlink ref="P13" r:id="rId4" display="http://www.bav-astro.de/sfs/BAVM_link.php?BAVMnr=91"/>
    <hyperlink ref="P14" r:id="rId5" display="http://www.bav-astro.de/sfs/BAVM_link.php?BAVMnr=99"/>
    <hyperlink ref="P15" r:id="rId6" display="http://www.bav-astro.de/sfs/BAVM_link.php?BAVMnr=152"/>
    <hyperlink ref="P16" r:id="rId7" display="http://www.konkoly.hu/cgi-bin/IBVS?5595"/>
    <hyperlink ref="P17" r:id="rId8" display="http://www.konkoly.hu/cgi-bin/IBVS?5676"/>
    <hyperlink ref="P18" r:id="rId9" display="http://www.bav-astro.de/sfs/BAVM_link.php?BAVMnr=178"/>
    <hyperlink ref="P36" r:id="rId10" display="http://vsolj.cetus-net.org/no45.pdf"/>
    <hyperlink ref="P37" r:id="rId11" display="http://vsolj.cetus-net.org/no45.pdf"/>
    <hyperlink ref="P19" r:id="rId12" display="http://www.bav-astro.de/sfs/BAVM_link.php?BAVMnr=183"/>
    <hyperlink ref="P38" r:id="rId13" display="http://www.bav-astro.de/sfs/BAVM_link.php?BAVMnr=193"/>
    <hyperlink ref="P39" r:id="rId14" display="http://www.bav-astro.de/sfs/BAVM_link.php?BAVMnr=203"/>
    <hyperlink ref="P20" r:id="rId15" display="http://www.bav-astro.de/sfs/BAVM_link.php?BAVMnr=215"/>
    <hyperlink ref="P21" r:id="rId16" display="http://www.bav-astro.de/sfs/BAVM_link.php?BAVMnr=231"/>
    <hyperlink ref="P40" r:id="rId17" display="http://www.bav-astro.de/sfs/BAVM_link.php?BAVMnr=241"/>
  </hyperlinks>
  <pageMargins left="0.75" right="0.75" top="1" bottom="1" header="0.5" footer="0.5"/>
  <pageSetup orientation="portrait" horizontalDpi="300" verticalDpi="300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2024-01-11T03:45:11Z</dcterms:modified>
</cp:coreProperties>
</file>