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75DA5D-A1CE-40A9-9028-4F9F393D64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5" i="1" l="1"/>
  <c r="F75" i="1" s="1"/>
  <c r="G75" i="1" s="1"/>
  <c r="I75" i="1" s="1"/>
  <c r="Q75" i="1"/>
  <c r="F14" i="1"/>
  <c r="E22" i="1"/>
  <c r="F22" i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E29" i="1"/>
  <c r="F29" i="1"/>
  <c r="G29" i="1" s="1"/>
  <c r="I29" i="1" s="1"/>
  <c r="Q29" i="1"/>
  <c r="E30" i="1"/>
  <c r="F30" i="1"/>
  <c r="G30" i="1" s="1"/>
  <c r="I30" i="1" s="1"/>
  <c r="Q30" i="1"/>
  <c r="E31" i="1"/>
  <c r="F31" i="1"/>
  <c r="G31" i="1" s="1"/>
  <c r="I31" i="1" s="1"/>
  <c r="Q31" i="1"/>
  <c r="E32" i="1"/>
  <c r="F32" i="1"/>
  <c r="G32" i="1" s="1"/>
  <c r="I32" i="1" s="1"/>
  <c r="Q32" i="1"/>
  <c r="E33" i="1"/>
  <c r="F33" i="1"/>
  <c r="G33" i="1" s="1"/>
  <c r="I33" i="1" s="1"/>
  <c r="Q33" i="1"/>
  <c r="E34" i="1"/>
  <c r="F34" i="1"/>
  <c r="G34" i="1" s="1"/>
  <c r="I34" i="1" s="1"/>
  <c r="Q34" i="1"/>
  <c r="E35" i="1"/>
  <c r="F35" i="1"/>
  <c r="G35" i="1" s="1"/>
  <c r="I35" i="1" s="1"/>
  <c r="Q35" i="1"/>
  <c r="E36" i="1"/>
  <c r="F36" i="1"/>
  <c r="G36" i="1" s="1"/>
  <c r="I36" i="1" s="1"/>
  <c r="Q36" i="1"/>
  <c r="E37" i="1"/>
  <c r="F37" i="1"/>
  <c r="G37" i="1" s="1"/>
  <c r="I37" i="1" s="1"/>
  <c r="Q37" i="1"/>
  <c r="E38" i="1"/>
  <c r="F38" i="1"/>
  <c r="G38" i="1" s="1"/>
  <c r="I38" i="1" s="1"/>
  <c r="Q38" i="1"/>
  <c r="E39" i="1"/>
  <c r="F39" i="1"/>
  <c r="G39" i="1" s="1"/>
  <c r="I39" i="1" s="1"/>
  <c r="Q39" i="1"/>
  <c r="E40" i="1"/>
  <c r="F40" i="1"/>
  <c r="G40" i="1" s="1"/>
  <c r="I40" i="1" s="1"/>
  <c r="Q40" i="1"/>
  <c r="E41" i="1"/>
  <c r="F41" i="1"/>
  <c r="G41" i="1" s="1"/>
  <c r="I41" i="1" s="1"/>
  <c r="Q41" i="1"/>
  <c r="E42" i="1"/>
  <c r="F42" i="1"/>
  <c r="G42" i="1" s="1"/>
  <c r="I42" i="1" s="1"/>
  <c r="Q42" i="1"/>
  <c r="E43" i="1"/>
  <c r="F43" i="1"/>
  <c r="G43" i="1" s="1"/>
  <c r="I43" i="1" s="1"/>
  <c r="Q43" i="1"/>
  <c r="E44" i="1"/>
  <c r="F44" i="1"/>
  <c r="G44" i="1" s="1"/>
  <c r="I44" i="1" s="1"/>
  <c r="Q44" i="1"/>
  <c r="E45" i="1"/>
  <c r="F45" i="1"/>
  <c r="G45" i="1" s="1"/>
  <c r="I45" i="1" s="1"/>
  <c r="Q45" i="1"/>
  <c r="E46" i="1"/>
  <c r="F46" i="1"/>
  <c r="G46" i="1" s="1"/>
  <c r="I46" i="1" s="1"/>
  <c r="Q46" i="1"/>
  <c r="E47" i="1"/>
  <c r="F47" i="1"/>
  <c r="G47" i="1" s="1"/>
  <c r="I47" i="1" s="1"/>
  <c r="Q47" i="1"/>
  <c r="E48" i="1"/>
  <c r="F48" i="1"/>
  <c r="G48" i="1" s="1"/>
  <c r="I48" i="1" s="1"/>
  <c r="Q48" i="1"/>
  <c r="E49" i="1"/>
  <c r="F49" i="1"/>
  <c r="G49" i="1" s="1"/>
  <c r="I49" i="1" s="1"/>
  <c r="Q49" i="1"/>
  <c r="E50" i="1"/>
  <c r="F50" i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/>
  <c r="G53" i="1" s="1"/>
  <c r="I53" i="1" s="1"/>
  <c r="Q53" i="1"/>
  <c r="E54" i="1"/>
  <c r="F54" i="1"/>
  <c r="G54" i="1" s="1"/>
  <c r="I54" i="1" s="1"/>
  <c r="Q54" i="1"/>
  <c r="E55" i="1"/>
  <c r="F55" i="1"/>
  <c r="G55" i="1" s="1"/>
  <c r="I55" i="1" s="1"/>
  <c r="Q55" i="1"/>
  <c r="E56" i="1"/>
  <c r="F56" i="1"/>
  <c r="G56" i="1" s="1"/>
  <c r="I56" i="1" s="1"/>
  <c r="Q56" i="1"/>
  <c r="E57" i="1"/>
  <c r="F57" i="1"/>
  <c r="G57" i="1" s="1"/>
  <c r="I57" i="1" s="1"/>
  <c r="Q57" i="1"/>
  <c r="E58" i="1"/>
  <c r="F58" i="1"/>
  <c r="G58" i="1" s="1"/>
  <c r="I58" i="1" s="1"/>
  <c r="Q58" i="1"/>
  <c r="E59" i="1"/>
  <c r="F59" i="1"/>
  <c r="G59" i="1" s="1"/>
  <c r="I59" i="1" s="1"/>
  <c r="Q59" i="1"/>
  <c r="E60" i="1"/>
  <c r="F60" i="1"/>
  <c r="G60" i="1" s="1"/>
  <c r="I60" i="1" s="1"/>
  <c r="Q60" i="1"/>
  <c r="E61" i="1"/>
  <c r="F61" i="1"/>
  <c r="G61" i="1" s="1"/>
  <c r="I61" i="1" s="1"/>
  <c r="Q61" i="1"/>
  <c r="E62" i="1"/>
  <c r="F62" i="1"/>
  <c r="G62" i="1" s="1"/>
  <c r="I62" i="1" s="1"/>
  <c r="Q62" i="1"/>
  <c r="E63" i="1"/>
  <c r="F63" i="1"/>
  <c r="G63" i="1" s="1"/>
  <c r="I63" i="1" s="1"/>
  <c r="Q63" i="1"/>
  <c r="E64" i="1"/>
  <c r="F64" i="1"/>
  <c r="G64" i="1" s="1"/>
  <c r="I64" i="1" s="1"/>
  <c r="Q64" i="1"/>
  <c r="E65" i="1"/>
  <c r="F65" i="1"/>
  <c r="G65" i="1" s="1"/>
  <c r="I65" i="1" s="1"/>
  <c r="Q65" i="1"/>
  <c r="E66" i="1"/>
  <c r="F66" i="1"/>
  <c r="G66" i="1" s="1"/>
  <c r="I66" i="1" s="1"/>
  <c r="Q66" i="1"/>
  <c r="E67" i="1"/>
  <c r="F67" i="1"/>
  <c r="G67" i="1" s="1"/>
  <c r="I67" i="1" s="1"/>
  <c r="Q67" i="1"/>
  <c r="E68" i="1"/>
  <c r="F68" i="1"/>
  <c r="G68" i="1" s="1"/>
  <c r="I68" i="1" s="1"/>
  <c r="Q68" i="1"/>
  <c r="E69" i="1"/>
  <c r="F69" i="1"/>
  <c r="G69" i="1" s="1"/>
  <c r="I69" i="1" s="1"/>
  <c r="Q69" i="1"/>
  <c r="E70" i="1"/>
  <c r="F70" i="1"/>
  <c r="G70" i="1" s="1"/>
  <c r="I70" i="1" s="1"/>
  <c r="Q70" i="1"/>
  <c r="E71" i="1"/>
  <c r="F71" i="1"/>
  <c r="G71" i="1" s="1"/>
  <c r="I71" i="1" s="1"/>
  <c r="Q71" i="1"/>
  <c r="E72" i="1"/>
  <c r="F72" i="1"/>
  <c r="G72" i="1" s="1"/>
  <c r="I72" i="1" s="1"/>
  <c r="Q72" i="1"/>
  <c r="E73" i="1"/>
  <c r="F73" i="1"/>
  <c r="G73" i="1" s="1"/>
  <c r="I73" i="1" s="1"/>
  <c r="Q73" i="1"/>
  <c r="E74" i="1"/>
  <c r="F74" i="1"/>
  <c r="G74" i="1" s="1"/>
  <c r="I74" i="1" s="1"/>
  <c r="Q74" i="1"/>
  <c r="E49" i="2"/>
  <c r="F11" i="1"/>
  <c r="Q21" i="1"/>
  <c r="G59" i="2"/>
  <c r="C59" i="2"/>
  <c r="E59" i="2"/>
  <c r="G18" i="2"/>
  <c r="C18" i="2"/>
  <c r="E18" i="2"/>
  <c r="G17" i="2"/>
  <c r="C17" i="2"/>
  <c r="G11" i="2"/>
  <c r="C11" i="2"/>
  <c r="G16" i="2"/>
  <c r="C16" i="2"/>
  <c r="E16" i="2"/>
  <c r="G15" i="2"/>
  <c r="C15" i="2"/>
  <c r="G14" i="2"/>
  <c r="C14" i="2"/>
  <c r="G58" i="2"/>
  <c r="C58" i="2"/>
  <c r="G57" i="2"/>
  <c r="C57" i="2"/>
  <c r="G56" i="2"/>
  <c r="C56" i="2"/>
  <c r="G55" i="2"/>
  <c r="C55" i="2"/>
  <c r="G13" i="2"/>
  <c r="C13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12" i="2"/>
  <c r="C12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E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E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H59" i="2"/>
  <c r="B59" i="2"/>
  <c r="D59" i="2"/>
  <c r="A59" i="2"/>
  <c r="H18" i="2"/>
  <c r="D18" i="2"/>
  <c r="B18" i="2"/>
  <c r="A18" i="2"/>
  <c r="H17" i="2"/>
  <c r="B17" i="2"/>
  <c r="D17" i="2"/>
  <c r="A17" i="2"/>
  <c r="H11" i="2"/>
  <c r="D11" i="2"/>
  <c r="B11" i="2"/>
  <c r="A11" i="2"/>
  <c r="H16" i="2"/>
  <c r="B16" i="2"/>
  <c r="D16" i="2"/>
  <c r="A16" i="2"/>
  <c r="H15" i="2"/>
  <c r="D15" i="2"/>
  <c r="B15" i="2"/>
  <c r="A15" i="2"/>
  <c r="H14" i="2"/>
  <c r="B14" i="2"/>
  <c r="D14" i="2"/>
  <c r="A14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13" i="2"/>
  <c r="D13" i="2"/>
  <c r="B13" i="2"/>
  <c r="A13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12" i="2"/>
  <c r="B12" i="2"/>
  <c r="D12" i="2"/>
  <c r="A12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G11" i="1"/>
  <c r="C17" i="1"/>
  <c r="E51" i="2"/>
  <c r="E23" i="2"/>
  <c r="E58" i="2"/>
  <c r="E44" i="2"/>
  <c r="E28" i="2"/>
  <c r="E17" i="2"/>
  <c r="E33" i="2"/>
  <c r="E25" i="2"/>
  <c r="E45" i="2"/>
  <c r="E38" i="2"/>
  <c r="E35" i="2"/>
  <c r="E13" i="2"/>
  <c r="E40" i="2"/>
  <c r="E21" i="1"/>
  <c r="F21" i="1"/>
  <c r="G21" i="1" s="1"/>
  <c r="I21" i="1" s="1"/>
  <c r="E14" i="2"/>
  <c r="E12" i="2"/>
  <c r="E21" i="2"/>
  <c r="E41" i="2"/>
  <c r="E19" i="2"/>
  <c r="E52" i="2"/>
  <c r="E54" i="2"/>
  <c r="E53" i="2"/>
  <c r="E47" i="2"/>
  <c r="E46" i="2"/>
  <c r="E20" i="2"/>
  <c r="E50" i="2"/>
  <c r="E36" i="2"/>
  <c r="E37" i="2"/>
  <c r="E30" i="2"/>
  <c r="E15" i="2"/>
  <c r="E43" i="2"/>
  <c r="E31" i="2"/>
  <c r="E39" i="2"/>
  <c r="E48" i="2"/>
  <c r="E24" i="2"/>
  <c r="F15" i="1" l="1"/>
  <c r="E56" i="2"/>
  <c r="E55" i="2"/>
  <c r="E27" i="2"/>
  <c r="E32" i="2"/>
  <c r="E22" i="2"/>
  <c r="E29" i="2"/>
  <c r="E57" i="2"/>
  <c r="E11" i="2"/>
  <c r="C11" i="1"/>
  <c r="C12" i="1"/>
  <c r="O75" i="1" l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C16" i="1"/>
  <c r="D18" i="1" s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<sst xmlns="http://schemas.openxmlformats.org/spreadsheetml/2006/main" count="566" uniqueCount="262">
  <si>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</si>
  <si>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</si>
  <si>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</si>
  <si>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</si>
  <si>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</si>
  <si>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</si>
  <si>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</si>
  <si>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</si>
  <si>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</si>
  <si>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</si>
  <si>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</si>
  <si>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</si>
  <si>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</si>
  <si>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</si>
  <si>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</si>
  <si>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</si>
  <si>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</si>
  <si>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</si>
  <si>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</si>
  <si>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</si>
  <si>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</si>
  <si>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</si>
  <si>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</si>
  <si>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</si>
  <si>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</si>
  <si>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EA/DM:</t>
  </si>
  <si>
    <t>IBVS 4382</t>
  </si>
  <si>
    <t>IBVS 0035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</si>
  <si>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</si>
  <si>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</si>
  <si>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</si>
  <si>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</si>
  <si>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</si>
  <si>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</si>
  <si>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5945</t>
  </si>
  <si>
    <t>II</t>
  </si>
  <si>
    <t>OEJV 0160</t>
  </si>
  <si>
    <t>I</t>
  </si>
  <si>
    <t>IBVS 6063</t>
  </si>
  <si>
    <t>Add cycle</t>
  </si>
  <si>
    <t>Old Cycle</t>
  </si>
  <si>
    <t>V0688 Aql / GSC 01615-01752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</si>
  <si>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</si>
  <si>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</si>
  <si>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</si>
  <si>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</si>
  <si>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</si>
  <si>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</si>
  <si>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</si>
  <si>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</si>
  <si>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</si>
  <si>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</si>
  <si>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</si>
  <si>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</si>
  <si>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</si>
  <si>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2418373.447 </t>
  </si>
  <si>
    <t> 07.03.1909 22:43 </t>
  </si>
  <si>
    <t> 0.065 </t>
  </si>
  <si>
    <t> N.E.Kurockin </t>
  </si>
  <si>
    <t> PZ 6.303 </t>
  </si>
  <si>
    <t>2427685.44 </t>
  </si>
  <si>
    <t> 04.09.1934 22:33 </t>
  </si>
  <si>
    <t> 0.06 </t>
  </si>
  <si>
    <t>P </t>
  </si>
  <si>
    <t> A.van de Voorde </t>
  </si>
  <si>
    <t> VSS 1.261 </t>
  </si>
  <si>
    <t>2427926.54 </t>
  </si>
  <si>
    <t> 04.05.1935 00:57 </t>
  </si>
  <si>
    <t> 0.00 </t>
  </si>
  <si>
    <t>2428424.34 </t>
  </si>
  <si>
    <t> 12.09.1936 20:09 </t>
  </si>
  <si>
    <t> -0.08 </t>
  </si>
  <si>
    <t> VSS 1.262 </t>
  </si>
  <si>
    <t>2428428.39 </t>
  </si>
  <si>
    <t> 16.09.1936 21:21 </t>
  </si>
  <si>
    <t> 0.08 </t>
  </si>
  <si>
    <t>2428782.278 </t>
  </si>
  <si>
    <t> 05.09.1937 18:40 </t>
  </si>
  <si>
    <t> -0.000 </t>
  </si>
  <si>
    <t>V </t>
  </si>
  <si>
    <t> K.Kordylewski </t>
  </si>
  <si>
    <t> COVS </t>
  </si>
  <si>
    <t>2429046.786 </t>
  </si>
  <si>
    <t> 28.05.1938 06:51 </t>
  </si>
  <si>
    <t> 0.006 </t>
  </si>
  <si>
    <t>2429167.32 </t>
  </si>
  <si>
    <t> 25.09.1938 19:40 </t>
  </si>
  <si>
    <t> -0.04 </t>
  </si>
  <si>
    <t>2429727.60 </t>
  </si>
  <si>
    <t> 08.04.1940 02:24 </t>
  </si>
  <si>
    <t> 0.12 </t>
  </si>
  <si>
    <t>2429906.31 </t>
  </si>
  <si>
    <t> 03.10.1940 19:26 </t>
  </si>
  <si>
    <t> -0.10 </t>
  </si>
  <si>
    <t>2430260.32 </t>
  </si>
  <si>
    <t> 22.09.1941 19:40 </t>
  </si>
  <si>
    <t> -0.05 </t>
  </si>
  <si>
    <t>2430614.35 </t>
  </si>
  <si>
    <t> 11.09.1942 20:24 </t>
  </si>
  <si>
    <t> 0.01 </t>
  </si>
  <si>
    <t>2431326.171 </t>
  </si>
  <si>
    <t> 23.08.1944 16:06 </t>
  </si>
  <si>
    <t> 0.014 </t>
  </si>
  <si>
    <t> W.Zessewitsch </t>
  </si>
  <si>
    <t> IODE 4.1.91 </t>
  </si>
  <si>
    <t>2433282.671 </t>
  </si>
  <si>
    <t> 01.01.1950 04:06 </t>
  </si>
  <si>
    <t> -0.016 </t>
  </si>
  <si>
    <t>2434496.266 </t>
  </si>
  <si>
    <t> 28.04.1953 18:23 </t>
  </si>
  <si>
    <t> -0.014 </t>
  </si>
  <si>
    <t> Leis &amp; Kalv </t>
  </si>
  <si>
    <t> TAOT 58.49 </t>
  </si>
  <si>
    <t>2435431.746 </t>
  </si>
  <si>
    <t> 20.11.1955 05:54 </t>
  </si>
  <si>
    <t> -0.012 </t>
  </si>
  <si>
    <t>2435460.919 </t>
  </si>
  <si>
    <t> 19.12.1955 10:03 </t>
  </si>
  <si>
    <t>2435725.424 </t>
  </si>
  <si>
    <t> 08.09.1956 22:10 </t>
  </si>
  <si>
    <t> -0.008 </t>
  </si>
  <si>
    <t> H.Huth </t>
  </si>
  <si>
    <t> MVS 3.120 </t>
  </si>
  <si>
    <t>2435814.892 </t>
  </si>
  <si>
    <t> 07.12.1956 09:24 </t>
  </si>
  <si>
    <t> -0.004 </t>
  </si>
  <si>
    <t>2436332.211 </t>
  </si>
  <si>
    <t> 08.05.1958 17:03 </t>
  </si>
  <si>
    <t> -0.018 </t>
  </si>
  <si>
    <t>2436394.494 </t>
  </si>
  <si>
    <t> 09.07.1958 23:51 </t>
  </si>
  <si>
    <t> 0.030 </t>
  </si>
  <si>
    <t>2436816.427 </t>
  </si>
  <si>
    <t> 04.09.1959 22:14 </t>
  </si>
  <si>
    <t> -0.072 </t>
  </si>
  <si>
    <t>2436818.338 </t>
  </si>
  <si>
    <t> 06.09.1959 20:06 </t>
  </si>
  <si>
    <t> -0.106 </t>
  </si>
  <si>
    <t> H.Busch </t>
  </si>
  <si>
    <t> HABZ 7 </t>
  </si>
  <si>
    <t>2436818.374 </t>
  </si>
  <si>
    <t> 06.09.1959 20:58 </t>
  </si>
  <si>
    <t> -0.070 </t>
  </si>
  <si>
    <t>2436818.411 </t>
  </si>
  <si>
    <t> 06.09.1959 21:51 </t>
  </si>
  <si>
    <t> -0.033 </t>
  </si>
  <si>
    <t>2437876.490 </t>
  </si>
  <si>
    <t> 30.07.1962 23:45 </t>
  </si>
  <si>
    <t> 0.042 </t>
  </si>
  <si>
    <t>2438265.430 </t>
  </si>
  <si>
    <t> 23.08.1963 22:19 </t>
  </si>
  <si>
    <t> 0.009 </t>
  </si>
  <si>
    <t>IBVS 35 </t>
  </si>
  <si>
    <t>2438339.292 </t>
  </si>
  <si>
    <t> 05.11.1963 19:00 </t>
  </si>
  <si>
    <t>2443769.380 </t>
  </si>
  <si>
    <t> 17.09.1978 21:07 </t>
  </si>
  <si>
    <t> 0.003 </t>
  </si>
  <si>
    <t> R.Diethelm </t>
  </si>
  <si>
    <t> BBS 39 </t>
  </si>
  <si>
    <t>2445103.529 </t>
  </si>
  <si>
    <t> 14.05.1982 00:41 </t>
  </si>
  <si>
    <t> -0.023 </t>
  </si>
  <si>
    <t>E </t>
  </si>
  <si>
    <t>?</t>
  </si>
  <si>
    <t> BBS 60 </t>
  </si>
  <si>
    <t>2445531.386 </t>
  </si>
  <si>
    <t> 15.07.1983 21:15 </t>
  </si>
  <si>
    <t> -0.035 </t>
  </si>
  <si>
    <t> BBS 67 </t>
  </si>
  <si>
    <t>2447472.299 </t>
  </si>
  <si>
    <t> 06.11.1988 19:10 </t>
  </si>
  <si>
    <t> -0.094 </t>
  </si>
  <si>
    <t> H.Peter </t>
  </si>
  <si>
    <t> BBS 90 </t>
  </si>
  <si>
    <t>2448176.340 </t>
  </si>
  <si>
    <t> 11.10.1990 20:09 </t>
  </si>
  <si>
    <t> -0.092 </t>
  </si>
  <si>
    <t> E.Blättler </t>
  </si>
  <si>
    <t> BBS 97 </t>
  </si>
  <si>
    <t>2448176.428 </t>
  </si>
  <si>
    <t> 11.10.1990 22:16 </t>
  </si>
  <si>
    <t> BBS 96 </t>
  </si>
  <si>
    <t>2448841.466 </t>
  </si>
  <si>
    <t> 06.08.1992 23:11 </t>
  </si>
  <si>
    <t> -0.109 </t>
  </si>
  <si>
    <t> BBS 102 </t>
  </si>
  <si>
    <t>2448845.358 </t>
  </si>
  <si>
    <t> 10.08.1992 20:35 </t>
  </si>
  <si>
    <t>2449549.414 </t>
  </si>
  <si>
    <t> 15.07.1994 21:56 </t>
  </si>
  <si>
    <t> -0.090 </t>
  </si>
  <si>
    <t> BBS 107 </t>
  </si>
  <si>
    <t>2449938.4609 </t>
  </si>
  <si>
    <t> 08.08.1995 23:03 </t>
  </si>
  <si>
    <t> -0.0155 </t>
  </si>
  <si>
    <t>o</t>
  </si>
  <si>
    <t> W.Kleikamp </t>
  </si>
  <si>
    <t>BAVM 90 </t>
  </si>
  <si>
    <t>2451029.500 </t>
  </si>
  <si>
    <t> 04.08.1998 00:00 </t>
  </si>
  <si>
    <t> -0.043 </t>
  </si>
  <si>
    <t> BBS 118 </t>
  </si>
  <si>
    <t>2451385.439 </t>
  </si>
  <si>
    <t> 25.07.1999 22:32 </t>
  </si>
  <si>
    <t> BBS 120 </t>
  </si>
  <si>
    <t>2453933.2156 </t>
  </si>
  <si>
    <t> 16.07.2006 17:10 </t>
  </si>
  <si>
    <t> -0.0053 </t>
  </si>
  <si>
    <t> K. Nagai et al. </t>
  </si>
  <si>
    <t>VSB 45 </t>
  </si>
  <si>
    <t>2453972.0954 </t>
  </si>
  <si>
    <t> 24.08.2006 14:17 </t>
  </si>
  <si>
    <t> -0.0227 </t>
  </si>
  <si>
    <t>2455358.7799 </t>
  </si>
  <si>
    <t> 11.06.2010 06:43 </t>
  </si>
  <si>
    <t> -0.0241 </t>
  </si>
  <si>
    <t>C </t>
  </si>
  <si>
    <t>IBVS 5945 </t>
  </si>
  <si>
    <t>2456111.44764 </t>
  </si>
  <si>
    <t> 02.07.2012 22:44 </t>
  </si>
  <si>
    <t> -0.01755 </t>
  </si>
  <si>
    <t> M.Urbanik </t>
  </si>
  <si>
    <t>OEJV 0160 </t>
  </si>
  <si>
    <t>2456447.9049 </t>
  </si>
  <si>
    <t> 04.06.2013 09:43 </t>
  </si>
  <si>
    <t> -0.0212 </t>
  </si>
  <si>
    <t>IBVS 6063 </t>
  </si>
  <si>
    <t>2456447.9116 </t>
  </si>
  <si>
    <t> 04.06.2013 09:52 </t>
  </si>
  <si>
    <t> -0.0145 </t>
  </si>
  <si>
    <t>B</t>
  </si>
  <si>
    <t>2456500.417 </t>
  </si>
  <si>
    <t> 26.07.2013 22:00 </t>
  </si>
  <si>
    <t> -0.020 </t>
  </si>
  <si>
    <t>-I</t>
  </si>
  <si>
    <t> F.Agerer </t>
  </si>
  <si>
    <t>BAVM 234 </t>
  </si>
  <si>
    <t>2456500.4338 </t>
  </si>
  <si>
    <t> 26.07.2013 22:24 </t>
  </si>
  <si>
    <t>736</t>
  </si>
  <si>
    <t> -0.0036 </t>
  </si>
  <si>
    <t>2457204.4623 </t>
  </si>
  <si>
    <t> 30.06.2015 23:05 </t>
  </si>
  <si>
    <t>917</t>
  </si>
  <si>
    <t> -0.0148 </t>
  </si>
  <si>
    <t>BAVM 241 (=IBVS 6157) </t>
  </si>
  <si>
    <t>s5</t>
  </si>
  <si>
    <t>s6</t>
  </si>
  <si>
    <t>s7</t>
  </si>
  <si>
    <t>IBVS 6157</t>
  </si>
  <si>
    <t>57204.4623</t>
  </si>
  <si>
    <t>OEJV 0179</t>
  </si>
  <si>
    <t>JAVSO 49, 108</t>
  </si>
  <si>
    <t>JAVSO 49, 256</t>
  </si>
  <si>
    <t>JAAVSO 51, 134</t>
  </si>
  <si>
    <t>JAAVSO52#1</t>
  </si>
  <si>
    <t xml:space="preserve">Mag </t>
  </si>
  <si>
    <t>Next ToM-P</t>
  </si>
  <si>
    <t>Next ToM-S</t>
  </si>
  <si>
    <t>10.35-10.98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</si>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</sst>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8" fillId="0" borderId="0"/>
    <xf numFmtId="0" fontId="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8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0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left"/>
    </xf>
    <xf numFmtId="0" fontId="0" fillId="0" borderId="18" xfId="0" applyBorder="1">
      <alignment vertical="top"/>
    </xf>
    <xf numFmtId="0" fontId="37" fillId="0" borderId="21" xfId="0" applyFont="1" applyBorder="1" applyAlignment="1">
      <alignment horizontal="right" vertical="center"/>
    </xf>
    <xf numFmtId="22" fontId="37" fillId="0" borderId="21" xfId="0" applyNumberFormat="1" applyFont="1" applyBorder="1" applyAlignment="1">
      <alignment horizontal="right" vertical="center"/>
    </xf>
    <xf numFmtId="0" fontId="37" fillId="0" borderId="23" xfId="0" applyFont="1" applyBorder="1" applyAlignment="1">
      <alignment horizontal="right" vertical="center"/>
    </xf>
    <xf numFmtId="0" fontId="8" fillId="25" borderId="19" xfId="0" applyFont="1" applyFill="1" applyBorder="1" applyAlignment="1">
      <alignment horizontal="right" vertical="center"/>
    </xf>
    <xf numFmtId="0" fontId="8" fillId="25" borderId="20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right" vertical="center"/>
    </xf>
    <xf numFmtId="22" fontId="38" fillId="0" borderId="22" xfId="0" applyNumberFormat="1" applyFont="1" applyBorder="1" applyAlignment="1">
      <alignment horizontal="right" vertical="center"/>
    </xf>
    <xf numFmtId="22" fontId="38" fillId="0" borderId="24" xfId="0" applyNumberFormat="1" applyFont="1" applyBorder="1" applyAlignment="1">
      <alignment horizontal="right" vertical="center"/>
    </xf>
    <xf numFmtId="0" fontId="8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V688 Aql - O-C Diagr.</a:t>
            </a:r>
          </a:p>
        </c:rich>
      </c:tx>
      <c:layout>
        <c:manualLayout>
          <c:xMode val="edge"/>
          <c:yMode val="edge"/>
          <c:x val="0.3683363650626062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613956966532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A7-4A60-A29B-3469A6E855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4.7299999998358544E-2</c:v>
                </c:pt>
                <c:pt idx="1">
                  <c:v>5.7801999995717779E-2</c:v>
                </c:pt>
                <c:pt idx="2">
                  <c:v>-4.6520000032614917E-3</c:v>
                </c:pt>
                <c:pt idx="3">
                  <c:v>-8.8428000002750196E-2</c:v>
                </c:pt>
                <c:pt idx="4">
                  <c:v>7.1854999998322455E-2</c:v>
                </c:pt>
                <c:pt idx="5">
                  <c:v>-4.3920000025536865E-3</c:v>
                </c:pt>
                <c:pt idx="6">
                  <c:v>2.8519999978016131E-3</c:v>
                </c:pt>
                <c:pt idx="7">
                  <c:v>-4.4375000001309672E-2</c:v>
                </c:pt>
                <c:pt idx="8">
                  <c:v>0.11637699999846518</c:v>
                </c:pt>
                <c:pt idx="9">
                  <c:v>-0.10060499999963213</c:v>
                </c:pt>
                <c:pt idx="10">
                  <c:v>-5.485200000111945E-2</c:v>
                </c:pt>
                <c:pt idx="11">
                  <c:v>1.0900999997829786E-2</c:v>
                </c:pt>
                <c:pt idx="12">
                  <c:v>1.3689999996131519E-2</c:v>
                </c:pt>
                <c:pt idx="13">
                  <c:v>-1.3960999996925239E-2</c:v>
                </c:pt>
                <c:pt idx="14">
                  <c:v>0</c:v>
                </c:pt>
                <c:pt idx="15">
                  <c:v>-1.066500000160886E-2</c:v>
                </c:pt>
                <c:pt idx="16">
                  <c:v>-7.6035000020056032E-3</c:v>
                </c:pt>
                <c:pt idx="17">
                  <c:v>-7.4810000005527399E-3</c:v>
                </c:pt>
                <c:pt idx="18">
                  <c:v>-3.2370000044465996E-3</c:v>
                </c:pt>
                <c:pt idx="19">
                  <c:v>1.2720000013359822E-3</c:v>
                </c:pt>
                <c:pt idx="20">
                  <c:v>-1.2088999996194616E-2</c:v>
                </c:pt>
                <c:pt idx="21">
                  <c:v>3.5438999999314547E-2</c:v>
                </c:pt>
                <c:pt idx="22">
                  <c:v>-6.5855499997269362E-2</c:v>
                </c:pt>
                <c:pt idx="23">
                  <c:v>-9.9713999996311031E-2</c:v>
                </c:pt>
                <c:pt idx="24">
                  <c:v>-6.3713999996252824E-2</c:v>
                </c:pt>
                <c:pt idx="25">
                  <c:v>-2.6713999999628868E-2</c:v>
                </c:pt>
                <c:pt idx="26">
                  <c:v>4.9261999993177596E-2</c:v>
                </c:pt>
                <c:pt idx="27">
                  <c:v>1.7562000000907574E-2</c:v>
                </c:pt>
                <c:pt idx="28">
                  <c:v>-2.5061000000278E-2</c:v>
                </c:pt>
                <c:pt idx="29">
                  <c:v>1.8006999998760875E-2</c:v>
                </c:pt>
                <c:pt idx="30">
                  <c:v>-5.9240000045974739E-3</c:v>
                </c:pt>
                <c:pt idx="31">
                  <c:v>-1.7793999999412335E-2</c:v>
                </c:pt>
                <c:pt idx="32">
                  <c:v>-7.3577000002842396E-2</c:v>
                </c:pt>
                <c:pt idx="33">
                  <c:v>-7.1354000006977003E-2</c:v>
                </c:pt>
                <c:pt idx="34">
                  <c:v>1.6645999996399041E-2</c:v>
                </c:pt>
                <c:pt idx="35">
                  <c:v>-8.6961000000883359E-2</c:v>
                </c:pt>
                <c:pt idx="36">
                  <c:v>-8.4678000006533694E-2</c:v>
                </c:pt>
                <c:pt idx="37">
                  <c:v>-6.7455000003974419E-2</c:v>
                </c:pt>
                <c:pt idx="38">
                  <c:v>7.7449999953387305E-3</c:v>
                </c:pt>
                <c:pt idx="39">
                  <c:v>-1.8773500007227995E-2</c:v>
                </c:pt>
                <c:pt idx="40">
                  <c:v>1.1120999995910097E-2</c:v>
                </c:pt>
                <c:pt idx="41">
                  <c:v>2.3086000001057982E-2</c:v>
                </c:pt>
                <c:pt idx="42">
                  <c:v>5.7159999923896976E-3</c:v>
                </c:pt>
                <c:pt idx="43">
                  <c:v>6.1055000041960739E-3</c:v>
                </c:pt>
                <c:pt idx="44">
                  <c:v>1.3605999993160367E-2</c:v>
                </c:pt>
                <c:pt idx="45">
                  <c:v>1.0345499998948071E-2</c:v>
                </c:pt>
                <c:pt idx="46">
                  <c:v>1.704549999703886E-2</c:v>
                </c:pt>
                <c:pt idx="47">
                  <c:v>1.1266000001342036E-2</c:v>
                </c:pt>
                <c:pt idx="48">
                  <c:v>2.806599999894388E-2</c:v>
                </c:pt>
                <c:pt idx="49">
                  <c:v>1.7788999997719657E-2</c:v>
                </c:pt>
                <c:pt idx="50">
                  <c:v>1.6531999994185753E-2</c:v>
                </c:pt>
                <c:pt idx="51">
                  <c:v>1.1612000002060086E-2</c:v>
                </c:pt>
                <c:pt idx="52">
                  <c:v>1.6582000003836583E-2</c:v>
                </c:pt>
                <c:pt idx="53">
                  <c:v>1.9898999998986255E-2</c:v>
                </c:pt>
                <c:pt idx="54">
                  <c:v>3.4651999994821381E-2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7-4A60-A29B-3469A6E855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A7-4A60-A29B-3469A6E855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A7-4A60-A29B-3469A6E855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A7-4A60-A29B-3469A6E855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A7-4A60-A29B-3469A6E855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  <c:pt idx="5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A7-4A60-A29B-3469A6E855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  <c:pt idx="54">
                  <c:v>6844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-1.8775031637580541E-2</c:v>
                </c:pt>
                <c:pt idx="1">
                  <c:v>-1.4403135595218089E-2</c:v>
                </c:pt>
                <c:pt idx="2">
                  <c:v>-1.4289911888189486E-2</c:v>
                </c:pt>
                <c:pt idx="3">
                  <c:v>-1.4056159718840116E-2</c:v>
                </c:pt>
                <c:pt idx="4">
                  <c:v>-1.4054333530017074E-2</c:v>
                </c:pt>
                <c:pt idx="5">
                  <c:v>-1.3888150347120256E-2</c:v>
                </c:pt>
                <c:pt idx="6">
                  <c:v>-1.3763969507153404E-2</c:v>
                </c:pt>
                <c:pt idx="7">
                  <c:v>-1.3707357653639101E-2</c:v>
                </c:pt>
                <c:pt idx="8">
                  <c:v>-1.344438646312106E-2</c:v>
                </c:pt>
                <c:pt idx="9">
                  <c:v>-1.336038177726113E-2</c:v>
                </c:pt>
                <c:pt idx="10">
                  <c:v>-1.319419859436431E-2</c:v>
                </c:pt>
                <c:pt idx="11">
                  <c:v>-1.3028015411467492E-2</c:v>
                </c:pt>
                <c:pt idx="12">
                  <c:v>-1.2693822856850813E-2</c:v>
                </c:pt>
                <c:pt idx="13">
                  <c:v>-1.1775249878860706E-2</c:v>
                </c:pt>
                <c:pt idx="14">
                  <c:v>-1.1652895227716896E-2</c:v>
                </c:pt>
                <c:pt idx="15">
                  <c:v>-1.1205478966071615E-2</c:v>
                </c:pt>
                <c:pt idx="16">
                  <c:v>-1.0766280554130023E-2</c:v>
                </c:pt>
                <c:pt idx="17">
                  <c:v>-1.0752584137957209E-2</c:v>
                </c:pt>
                <c:pt idx="18">
                  <c:v>-1.0628403297990356E-2</c:v>
                </c:pt>
                <c:pt idx="19">
                  <c:v>-1.0586400955060391E-2</c:v>
                </c:pt>
                <c:pt idx="20">
                  <c:v>-1.034351784159581E-2</c:v>
                </c:pt>
                <c:pt idx="21">
                  <c:v>-1.0314298820427139E-2</c:v>
                </c:pt>
                <c:pt idx="22">
                  <c:v>-1.0116157333127086E-2</c:v>
                </c:pt>
                <c:pt idx="23">
                  <c:v>-1.0115244238715564E-2</c:v>
                </c:pt>
                <c:pt idx="24">
                  <c:v>-1.0115244238715564E-2</c:v>
                </c:pt>
                <c:pt idx="25">
                  <c:v>-1.0115244238715564E-2</c:v>
                </c:pt>
                <c:pt idx="26">
                  <c:v>-9.6185208788481507E-3</c:v>
                </c:pt>
                <c:pt idx="27">
                  <c:v>-9.435901996543955E-3</c:v>
                </c:pt>
                <c:pt idx="28">
                  <c:v>-9.4012044089061587E-3</c:v>
                </c:pt>
                <c:pt idx="29">
                  <c:v>-6.85184481193958E-3</c:v>
                </c:pt>
                <c:pt idx="30">
                  <c:v>-6.2254620456361877E-3</c:v>
                </c:pt>
                <c:pt idx="31">
                  <c:v>-6.0245812751015719E-3</c:v>
                </c:pt>
                <c:pt idx="32">
                  <c:v>-5.1133130524036331E-3</c:v>
                </c:pt>
                <c:pt idx="33">
                  <c:v>-4.7827728754330388E-3</c:v>
                </c:pt>
                <c:pt idx="34">
                  <c:v>-4.7827728754330388E-3</c:v>
                </c:pt>
                <c:pt idx="35">
                  <c:v>-4.4704945866928629E-3</c:v>
                </c:pt>
                <c:pt idx="36">
                  <c:v>-4.4686683978698216E-3</c:v>
                </c:pt>
                <c:pt idx="37">
                  <c:v>-4.1381282208992265E-3</c:v>
                </c:pt>
                <c:pt idx="38">
                  <c:v>-3.9555093385950299E-3</c:v>
                </c:pt>
                <c:pt idx="39">
                  <c:v>-3.443263373731761E-3</c:v>
                </c:pt>
                <c:pt idx="40">
                  <c:v>-3.2761670964234213E-3</c:v>
                </c:pt>
                <c:pt idx="41">
                  <c:v>-2.0800134173309358E-3</c:v>
                </c:pt>
                <c:pt idx="42">
                  <c:v>-2.0617515291005174E-3</c:v>
                </c:pt>
                <c:pt idx="43">
                  <c:v>-1.4107152136860583E-3</c:v>
                </c:pt>
                <c:pt idx="44">
                  <c:v>-1.0573476764274385E-3</c:v>
                </c:pt>
                <c:pt idx="45">
                  <c:v>-8.9938234323430795E-4</c:v>
                </c:pt>
                <c:pt idx="46">
                  <c:v>-8.9938234323430795E-4</c:v>
                </c:pt>
                <c:pt idx="47">
                  <c:v>-8.7472879412324282E-4</c:v>
                </c:pt>
                <c:pt idx="48">
                  <c:v>-8.7472879412324282E-4</c:v>
                </c:pt>
                <c:pt idx="49">
                  <c:v>-5.441886171526477E-4</c:v>
                </c:pt>
                <c:pt idx="50">
                  <c:v>-3.7800543425582818E-4</c:v>
                </c:pt>
                <c:pt idx="51">
                  <c:v>3.3420820673053624E-4</c:v>
                </c:pt>
                <c:pt idx="52">
                  <c:v>4.9856520080431184E-4</c:v>
                </c:pt>
                <c:pt idx="53">
                  <c:v>6.7935789428546708E-4</c:v>
                </c:pt>
                <c:pt idx="54">
                  <c:v>8.4554107718228487E-4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A7-4A60-A29B-3469A6E8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623872"/>
        <c:axId val="1"/>
      </c:scatterChart>
      <c:valAx>
        <c:axId val="61662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623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47836023728051"/>
          <c:y val="0.91925596256989606"/>
          <c:w val="0.6558971162530370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638175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67EF5EB-54C0-B740-706C-50E0AC9FC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63" TargetMode="External"/><Relationship Id="rId3" Type="http://schemas.openxmlformats.org/officeDocument/2006/relationships/hyperlink" Target="http://www.bav-astro.de/sfs/BAVM_link.php?BAVMnr=90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45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vsolj.cetus-net.org/no45.pdf" TargetMode="External"/><Relationship Id="rId9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workbookViewId="0">
      <pane xSplit="14" ySplit="22" topLeftCell="O58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1.85546875" customWidth="1"/>
    <col min="4" max="4" width="11.5703125" customWidth="1"/>
    <col min="5" max="5" width="13.5703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10" t="s">
        <v>25</v>
      </c>
    </row>
    <row r="4" spans="1:7" x14ac:dyDescent="0.2">
      <c r="A4" s="7" t="s">
        <v>0</v>
      </c>
      <c r="C4" s="3">
        <v>33543.296000000002</v>
      </c>
      <c r="D4" s="4">
        <v>3.8897170000000001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v>33543.296000000002</v>
      </c>
      <c r="D7" s="76" t="s">
        <v>261</v>
      </c>
    </row>
    <row r="8" spans="1:7" x14ac:dyDescent="0.2">
      <c r="A8" t="s">
        <v>3</v>
      </c>
      <c r="C8">
        <v>3.8897170000000001</v>
      </c>
      <c r="D8" s="76" t="s">
        <v>261</v>
      </c>
    </row>
    <row r="9" spans="1:7" x14ac:dyDescent="0.2">
      <c r="A9" s="14" t="s">
        <v>29</v>
      </c>
      <c r="B9" s="10"/>
      <c r="C9" s="15">
        <v>-9.5</v>
      </c>
      <c r="D9" s="10" t="s">
        <v>30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16">
        <f ca="1">INTERCEPT(INDIRECT($G$11):G992,INDIRECT($F$11):F992)</f>
        <v>-1.1652895227716896E-2</v>
      </c>
      <c r="D11" s="5"/>
      <c r="E11" s="10"/>
      <c r="F11" s="17" t="str">
        <f>"F"&amp;E19</f>
        <v>F22</v>
      </c>
      <c r="G11" s="18" t="str">
        <f>"G"&amp;E19</f>
        <v>G22</v>
      </c>
    </row>
    <row r="12" spans="1:7" x14ac:dyDescent="0.2">
      <c r="A12" s="10" t="s">
        <v>17</v>
      </c>
      <c r="B12" s="10"/>
      <c r="C12" s="16">
        <f ca="1">SLOPE(INDIRECT($G$11):G992,INDIRECT($F$11):F992)</f>
        <v>1.8261888230419609E-6</v>
      </c>
      <c r="D12" s="5"/>
      <c r="E12" s="71" t="s">
        <v>257</v>
      </c>
      <c r="F12" s="72" t="s">
        <v>260</v>
      </c>
    </row>
    <row r="13" spans="1:7" x14ac:dyDescent="0.2">
      <c r="A13" s="10" t="s">
        <v>19</v>
      </c>
      <c r="B13" s="10"/>
      <c r="C13" s="5" t="s">
        <v>14</v>
      </c>
      <c r="D13" s="21"/>
      <c r="E13" s="68" t="s">
        <v>39</v>
      </c>
      <c r="F13" s="73">
        <v>1</v>
      </c>
    </row>
    <row r="14" spans="1:7" x14ac:dyDescent="0.2">
      <c r="A14" s="10"/>
      <c r="B14" s="10"/>
      <c r="C14" s="10"/>
      <c r="D14" s="21"/>
      <c r="E14" s="68" t="s">
        <v>31</v>
      </c>
      <c r="F14" s="73">
        <f ca="1">NOW()+15018.5+$C$9/24</f>
        <v>60569.818430324071</v>
      </c>
    </row>
    <row r="15" spans="1:7" x14ac:dyDescent="0.2">
      <c r="A15" s="19" t="s">
        <v>18</v>
      </c>
      <c r="B15" s="10"/>
      <c r="C15" s="20">
        <f ca="1">(C7+C11)+(C8+C12)*INT(MAX(F21:F3533))</f>
        <v>60164.519993541078</v>
      </c>
      <c r="D15" s="21"/>
      <c r="E15" s="68" t="s">
        <v>40</v>
      </c>
      <c r="F15" s="73">
        <f ca="1">ROUND(2*($F$14-$C$7)/$C$8,0)/2+$F$13</f>
        <v>6949</v>
      </c>
    </row>
    <row r="16" spans="1:7" x14ac:dyDescent="0.2">
      <c r="A16" s="22" t="s">
        <v>4</v>
      </c>
      <c r="B16" s="10"/>
      <c r="C16" s="23">
        <f ca="1">+C8+C12</f>
        <v>3.8897188261888229</v>
      </c>
      <c r="D16" s="21"/>
      <c r="E16" s="68" t="s">
        <v>32</v>
      </c>
      <c r="F16" s="73">
        <f ca="1">ROUND(2*($F$14-$C$15)/$C$16,0)/2+$F$13</f>
        <v>105</v>
      </c>
    </row>
    <row r="17" spans="1:17" ht="13.5" thickBot="1" x14ac:dyDescent="0.25">
      <c r="A17" s="21" t="s">
        <v>28</v>
      </c>
      <c r="B17" s="10"/>
      <c r="C17" s="10">
        <f>COUNT(C21:C2191)</f>
        <v>54</v>
      </c>
      <c r="D17" s="21"/>
      <c r="E17" s="69" t="s">
        <v>258</v>
      </c>
      <c r="F17" s="74">
        <f ca="1">+$C$15+$C$16*$F$16-15018.5-$C$9/24</f>
        <v>45554.836303624237</v>
      </c>
    </row>
    <row r="18" spans="1:17" x14ac:dyDescent="0.2">
      <c r="A18" s="22" t="s">
        <v>5</v>
      </c>
      <c r="B18" s="10"/>
      <c r="C18" s="24">
        <f ca="1">+C15</f>
        <v>60164.519993541078</v>
      </c>
      <c r="D18" s="67">
        <f ca="1">+C16</f>
        <v>3.8897188261888229</v>
      </c>
      <c r="E18" s="70" t="s">
        <v>259</v>
      </c>
      <c r="F18" s="75">
        <f ca="1">+($C$15+$C$16*$F$16)-($C$16/2)-15018.5-$C$9/24</f>
        <v>45552.891444211142</v>
      </c>
    </row>
    <row r="19" spans="1:17" ht="13.5" thickTop="1" x14ac:dyDescent="0.2">
      <c r="A19" s="25" t="s">
        <v>33</v>
      </c>
      <c r="E19" s="26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50</v>
      </c>
      <c r="I20" s="9" t="s">
        <v>53</v>
      </c>
      <c r="J20" s="9" t="s">
        <v>47</v>
      </c>
      <c r="K20" s="9" t="s">
        <v>45</v>
      </c>
      <c r="L20" s="9" t="s">
        <v>247</v>
      </c>
      <c r="M20" s="9" t="s">
        <v>248</v>
      </c>
      <c r="N20" s="9" t="s">
        <v>249</v>
      </c>
      <c r="O20" s="9" t="s">
        <v>23</v>
      </c>
      <c r="P20" s="8" t="s">
        <v>22</v>
      </c>
      <c r="Q20" s="6" t="s">
        <v>15</v>
      </c>
    </row>
    <row r="21" spans="1:17" x14ac:dyDescent="0.2">
      <c r="A21" s="52" t="s">
        <v>59</v>
      </c>
      <c r="B21" s="34" t="s">
        <v>37</v>
      </c>
      <c r="C21" s="32">
        <v>18373.447</v>
      </c>
      <c r="D21" s="32" t="s">
        <v>53</v>
      </c>
      <c r="E21">
        <f t="shared" ref="E21" si="0">+(C21-C$7)/C$8</f>
        <v>-3899.9878397322996</v>
      </c>
      <c r="F21">
        <f t="shared" ref="F21" si="1">ROUND(2*E21,0)/2</f>
        <v>-3900</v>
      </c>
      <c r="G21">
        <f t="shared" ref="G21" si="2">+C21-(C$7+F21*C$8)</f>
        <v>4.7299999998358544E-2</v>
      </c>
      <c r="I21">
        <f t="shared" ref="I21" si="3">+G21</f>
        <v>4.7299999998358544E-2</v>
      </c>
      <c r="O21">
        <f t="shared" ref="O21" ca="1" si="4">+C$11+C$12*$F21</f>
        <v>-1.8775031637580541E-2</v>
      </c>
      <c r="Q21" s="2">
        <f t="shared" ref="Q21" si="5">+C21-15018.5</f>
        <v>3354.9470000000001</v>
      </c>
    </row>
    <row r="22" spans="1:17" x14ac:dyDescent="0.2">
      <c r="A22" s="52" t="s">
        <v>65</v>
      </c>
      <c r="B22" s="5" t="s">
        <v>37</v>
      </c>
      <c r="C22" s="27">
        <v>27685.439999999999</v>
      </c>
      <c r="D22" s="27" t="s">
        <v>53</v>
      </c>
      <c r="E22">
        <f t="shared" ref="E22:E74" si="6">+(C22-C$7)/C$8</f>
        <v>-1505.9851397929472</v>
      </c>
      <c r="F22">
        <f t="shared" ref="F22:F74" si="7">ROUND(2*E22,0)/2</f>
        <v>-1506</v>
      </c>
      <c r="G22">
        <f t="shared" ref="G22:G74" si="8">+C22-(C$7+F22*C$8)</f>
        <v>5.7801999995717779E-2</v>
      </c>
      <c r="I22">
        <f t="shared" ref="I22:I74" si="9">+G22</f>
        <v>5.7801999995717779E-2</v>
      </c>
      <c r="O22">
        <f t="shared" ref="O22:O74" ca="1" si="10">+C$11+C$12*$F22</f>
        <v>-1.4403135595218089E-2</v>
      </c>
      <c r="Q22" s="2">
        <f t="shared" ref="Q22:Q74" si="11">+C22-15018.5</f>
        <v>12666.939999999999</v>
      </c>
    </row>
    <row r="23" spans="1:17" x14ac:dyDescent="0.2">
      <c r="A23" s="52" t="s">
        <v>65</v>
      </c>
      <c r="B23" s="5" t="s">
        <v>37</v>
      </c>
      <c r="C23" s="27">
        <v>27926.54</v>
      </c>
      <c r="D23" s="27" t="s">
        <v>53</v>
      </c>
      <c r="E23">
        <f t="shared" si="6"/>
        <v>-1444.0011959738977</v>
      </c>
      <c r="F23">
        <f t="shared" si="7"/>
        <v>-1444</v>
      </c>
      <c r="G23">
        <f t="shared" si="8"/>
        <v>-4.6520000032614917E-3</v>
      </c>
      <c r="I23">
        <f t="shared" si="9"/>
        <v>-4.6520000032614917E-3</v>
      </c>
      <c r="O23">
        <f t="shared" ca="1" si="10"/>
        <v>-1.4289911888189486E-2</v>
      </c>
      <c r="Q23" s="2">
        <f t="shared" si="11"/>
        <v>12908.04</v>
      </c>
    </row>
    <row r="24" spans="1:17" x14ac:dyDescent="0.2">
      <c r="A24" s="52" t="s">
        <v>72</v>
      </c>
      <c r="B24" s="5" t="s">
        <v>37</v>
      </c>
      <c r="C24" s="27">
        <v>28424.34</v>
      </c>
      <c r="D24" s="27" t="s">
        <v>53</v>
      </c>
      <c r="E24">
        <f t="shared" si="6"/>
        <v>-1316.0227337875742</v>
      </c>
      <c r="F24">
        <f t="shared" si="7"/>
        <v>-1316</v>
      </c>
      <c r="G24">
        <f t="shared" si="8"/>
        <v>-8.8428000002750196E-2</v>
      </c>
      <c r="I24">
        <f t="shared" si="9"/>
        <v>-8.8428000002750196E-2</v>
      </c>
      <c r="O24">
        <f t="shared" ca="1" si="10"/>
        <v>-1.4056159718840116E-2</v>
      </c>
      <c r="Q24" s="2">
        <f t="shared" si="11"/>
        <v>13405.84</v>
      </c>
    </row>
    <row r="25" spans="1:17" x14ac:dyDescent="0.2">
      <c r="A25" s="52" t="s">
        <v>72</v>
      </c>
      <c r="B25" s="5" t="s">
        <v>37</v>
      </c>
      <c r="C25" s="27">
        <v>28428.39</v>
      </c>
      <c r="D25" s="27" t="s">
        <v>53</v>
      </c>
      <c r="E25">
        <f t="shared" si="6"/>
        <v>-1314.9815269337082</v>
      </c>
      <c r="F25">
        <f t="shared" si="7"/>
        <v>-1315</v>
      </c>
      <c r="G25">
        <f t="shared" si="8"/>
        <v>7.1854999998322455E-2</v>
      </c>
      <c r="I25">
        <f t="shared" si="9"/>
        <v>7.1854999998322455E-2</v>
      </c>
      <c r="O25">
        <f t="shared" ca="1" si="10"/>
        <v>-1.4054333530017074E-2</v>
      </c>
      <c r="Q25" s="2">
        <f t="shared" si="11"/>
        <v>13409.89</v>
      </c>
    </row>
    <row r="26" spans="1:17" x14ac:dyDescent="0.2">
      <c r="A26" s="52" t="s">
        <v>81</v>
      </c>
      <c r="B26" s="5" t="s">
        <v>37</v>
      </c>
      <c r="C26" s="27">
        <v>28782.277999999998</v>
      </c>
      <c r="D26" s="27" t="s">
        <v>53</v>
      </c>
      <c r="E26">
        <f t="shared" si="6"/>
        <v>-1224.0011291309891</v>
      </c>
      <c r="F26">
        <f t="shared" si="7"/>
        <v>-1224</v>
      </c>
      <c r="G26">
        <f t="shared" si="8"/>
        <v>-4.3920000025536865E-3</v>
      </c>
      <c r="I26">
        <f t="shared" si="9"/>
        <v>-4.3920000025536865E-3</v>
      </c>
      <c r="O26">
        <f t="shared" ca="1" si="10"/>
        <v>-1.3888150347120256E-2</v>
      </c>
      <c r="Q26" s="2">
        <f t="shared" si="11"/>
        <v>13763.777999999998</v>
      </c>
    </row>
    <row r="27" spans="1:17" x14ac:dyDescent="0.2">
      <c r="A27" s="52" t="s">
        <v>59</v>
      </c>
      <c r="B27" s="5" t="s">
        <v>37</v>
      </c>
      <c r="C27" s="27">
        <v>29046.786</v>
      </c>
      <c r="D27" s="27" t="s">
        <v>53</v>
      </c>
      <c r="E27">
        <f t="shared" si="6"/>
        <v>-1155.9992667847048</v>
      </c>
      <c r="F27">
        <f t="shared" si="7"/>
        <v>-1156</v>
      </c>
      <c r="G27">
        <f t="shared" si="8"/>
        <v>2.8519999978016131E-3</v>
      </c>
      <c r="I27">
        <f t="shared" si="9"/>
        <v>2.8519999978016131E-3</v>
      </c>
      <c r="O27">
        <f t="shared" ca="1" si="10"/>
        <v>-1.3763969507153404E-2</v>
      </c>
      <c r="Q27" s="2">
        <f t="shared" si="11"/>
        <v>14028.286</v>
      </c>
    </row>
    <row r="28" spans="1:17" x14ac:dyDescent="0.2">
      <c r="A28" s="52" t="s">
        <v>72</v>
      </c>
      <c r="B28" s="5" t="s">
        <v>37</v>
      </c>
      <c r="C28" s="27">
        <v>29167.32</v>
      </c>
      <c r="D28" s="27" t="s">
        <v>53</v>
      </c>
      <c r="E28">
        <f t="shared" si="6"/>
        <v>-1125.0114082849734</v>
      </c>
      <c r="F28">
        <f t="shared" si="7"/>
        <v>-1125</v>
      </c>
      <c r="G28">
        <f t="shared" si="8"/>
        <v>-4.4375000001309672E-2</v>
      </c>
      <c r="I28">
        <f t="shared" si="9"/>
        <v>-4.4375000001309672E-2</v>
      </c>
      <c r="O28">
        <f t="shared" ca="1" si="10"/>
        <v>-1.3707357653639101E-2</v>
      </c>
      <c r="Q28" s="2">
        <f t="shared" si="11"/>
        <v>14148.82</v>
      </c>
    </row>
    <row r="29" spans="1:17" x14ac:dyDescent="0.2">
      <c r="A29" s="52" t="s">
        <v>72</v>
      </c>
      <c r="B29" s="5" t="s">
        <v>37</v>
      </c>
      <c r="C29" s="27">
        <v>29727.599999999999</v>
      </c>
      <c r="D29" s="27" t="s">
        <v>53</v>
      </c>
      <c r="E29">
        <f t="shared" si="6"/>
        <v>-980.97008085678306</v>
      </c>
      <c r="F29">
        <f t="shared" si="7"/>
        <v>-981</v>
      </c>
      <c r="G29">
        <f t="shared" si="8"/>
        <v>0.11637699999846518</v>
      </c>
      <c r="I29">
        <f t="shared" si="9"/>
        <v>0.11637699999846518</v>
      </c>
      <c r="O29">
        <f t="shared" ca="1" si="10"/>
        <v>-1.344438646312106E-2</v>
      </c>
      <c r="Q29" s="2">
        <f t="shared" si="11"/>
        <v>14709.099999999999</v>
      </c>
    </row>
    <row r="30" spans="1:17" x14ac:dyDescent="0.2">
      <c r="A30" s="52" t="s">
        <v>72</v>
      </c>
      <c r="B30" s="5" t="s">
        <v>37</v>
      </c>
      <c r="C30" s="27">
        <v>29906.31</v>
      </c>
      <c r="D30" s="27" t="s">
        <v>53</v>
      </c>
      <c r="E30">
        <f t="shared" si="6"/>
        <v>-935.02586434951456</v>
      </c>
      <c r="F30">
        <f t="shared" si="7"/>
        <v>-935</v>
      </c>
      <c r="G30">
        <f t="shared" si="8"/>
        <v>-0.10060499999963213</v>
      </c>
      <c r="I30">
        <f t="shared" si="9"/>
        <v>-0.10060499999963213</v>
      </c>
      <c r="O30">
        <f t="shared" ca="1" si="10"/>
        <v>-1.336038177726113E-2</v>
      </c>
      <c r="Q30" s="2">
        <f t="shared" si="11"/>
        <v>14887.810000000001</v>
      </c>
    </row>
    <row r="31" spans="1:17" x14ac:dyDescent="0.2">
      <c r="A31" s="52" t="s">
        <v>72</v>
      </c>
      <c r="B31" s="5" t="s">
        <v>37</v>
      </c>
      <c r="C31" s="27">
        <v>30260.32</v>
      </c>
      <c r="D31" s="27" t="s">
        <v>53</v>
      </c>
      <c r="E31">
        <f t="shared" si="6"/>
        <v>-844.01410179712366</v>
      </c>
      <c r="F31">
        <f t="shared" si="7"/>
        <v>-844</v>
      </c>
      <c r="G31">
        <f t="shared" si="8"/>
        <v>-5.485200000111945E-2</v>
      </c>
      <c r="I31">
        <f t="shared" si="9"/>
        <v>-5.485200000111945E-2</v>
      </c>
      <c r="O31">
        <f t="shared" ca="1" si="10"/>
        <v>-1.319419859436431E-2</v>
      </c>
      <c r="Q31" s="2">
        <f t="shared" si="11"/>
        <v>15241.82</v>
      </c>
    </row>
    <row r="32" spans="1:17" x14ac:dyDescent="0.2">
      <c r="A32" s="52" t="s">
        <v>72</v>
      </c>
      <c r="B32" s="5" t="s">
        <v>37</v>
      </c>
      <c r="C32" s="27">
        <v>30614.35</v>
      </c>
      <c r="D32" s="27" t="s">
        <v>53</v>
      </c>
      <c r="E32">
        <f t="shared" si="6"/>
        <v>-752.99719748249129</v>
      </c>
      <c r="F32">
        <f t="shared" si="7"/>
        <v>-753</v>
      </c>
      <c r="G32">
        <f t="shared" si="8"/>
        <v>1.0900999997829786E-2</v>
      </c>
      <c r="I32">
        <f t="shared" si="9"/>
        <v>1.0900999997829786E-2</v>
      </c>
      <c r="O32">
        <f t="shared" ca="1" si="10"/>
        <v>-1.3028015411467492E-2</v>
      </c>
      <c r="Q32" s="2">
        <f t="shared" si="11"/>
        <v>15595.849999999999</v>
      </c>
    </row>
    <row r="33" spans="1:17" x14ac:dyDescent="0.2">
      <c r="A33" s="52" t="s">
        <v>104</v>
      </c>
      <c r="B33" s="5" t="s">
        <v>37</v>
      </c>
      <c r="C33" s="27">
        <v>31326.170999999998</v>
      </c>
      <c r="D33" s="27" t="s">
        <v>53</v>
      </c>
      <c r="E33">
        <f t="shared" si="6"/>
        <v>-569.99648046374671</v>
      </c>
      <c r="F33">
        <f t="shared" si="7"/>
        <v>-570</v>
      </c>
      <c r="G33">
        <f t="shared" si="8"/>
        <v>1.3689999996131519E-2</v>
      </c>
      <c r="I33">
        <f t="shared" si="9"/>
        <v>1.3689999996131519E-2</v>
      </c>
      <c r="O33">
        <f t="shared" ca="1" si="10"/>
        <v>-1.2693822856850813E-2</v>
      </c>
      <c r="Q33" s="2">
        <f t="shared" si="11"/>
        <v>16307.670999999998</v>
      </c>
    </row>
    <row r="34" spans="1:17" x14ac:dyDescent="0.2">
      <c r="A34" s="52" t="s">
        <v>81</v>
      </c>
      <c r="B34" s="5" t="s">
        <v>37</v>
      </c>
      <c r="C34" s="27">
        <v>33282.671000000002</v>
      </c>
      <c r="D34" s="27" t="s">
        <v>53</v>
      </c>
      <c r="E34">
        <f t="shared" si="6"/>
        <v>-67.003589207132549</v>
      </c>
      <c r="F34">
        <f t="shared" si="7"/>
        <v>-67</v>
      </c>
      <c r="G34">
        <f t="shared" si="8"/>
        <v>-1.3960999996925239E-2</v>
      </c>
      <c r="I34">
        <f t="shared" si="9"/>
        <v>-1.3960999996925239E-2</v>
      </c>
      <c r="O34">
        <f t="shared" ca="1" si="10"/>
        <v>-1.1775249878860706E-2</v>
      </c>
      <c r="Q34" s="2">
        <f t="shared" si="11"/>
        <v>18264.171000000002</v>
      </c>
    </row>
    <row r="35" spans="1:17" x14ac:dyDescent="0.2">
      <c r="A35" t="s">
        <v>12</v>
      </c>
      <c r="B35" s="5" t="s">
        <v>37</v>
      </c>
      <c r="C35" s="27">
        <v>33543.296000000002</v>
      </c>
      <c r="D35" s="27" t="s">
        <v>14</v>
      </c>
      <c r="E35">
        <f t="shared" si="6"/>
        <v>0</v>
      </c>
      <c r="F35">
        <f t="shared" si="7"/>
        <v>0</v>
      </c>
      <c r="G35">
        <f t="shared" si="8"/>
        <v>0</v>
      </c>
      <c r="I35">
        <f t="shared" si="9"/>
        <v>0</v>
      </c>
      <c r="O35">
        <f t="shared" ca="1" si="10"/>
        <v>-1.1652895227716896E-2</v>
      </c>
      <c r="Q35" s="2">
        <f t="shared" si="11"/>
        <v>18524.796000000002</v>
      </c>
    </row>
    <row r="36" spans="1:17" x14ac:dyDescent="0.2">
      <c r="A36" s="52" t="s">
        <v>112</v>
      </c>
      <c r="B36" s="5" t="s">
        <v>37</v>
      </c>
      <c r="C36" s="27">
        <v>34496.266000000003</v>
      </c>
      <c r="D36" s="27" t="s">
        <v>53</v>
      </c>
      <c r="E36">
        <f t="shared" si="6"/>
        <v>244.99725815528512</v>
      </c>
      <c r="F36">
        <f t="shared" si="7"/>
        <v>245</v>
      </c>
      <c r="G36">
        <f t="shared" si="8"/>
        <v>-1.066500000160886E-2</v>
      </c>
      <c r="I36">
        <f t="shared" si="9"/>
        <v>-1.066500000160886E-2</v>
      </c>
      <c r="O36">
        <f t="shared" ca="1" si="10"/>
        <v>-1.1205478966071615E-2</v>
      </c>
      <c r="Q36" s="2">
        <f t="shared" si="11"/>
        <v>19477.766000000003</v>
      </c>
    </row>
    <row r="37" spans="1:17" x14ac:dyDescent="0.2">
      <c r="A37" s="52" t="s">
        <v>112</v>
      </c>
      <c r="B37" s="5" t="s">
        <v>35</v>
      </c>
      <c r="C37" s="27">
        <v>35431.745999999999</v>
      </c>
      <c r="D37" s="27" t="s">
        <v>53</v>
      </c>
      <c r="E37">
        <f t="shared" si="6"/>
        <v>485.49804523053916</v>
      </c>
      <c r="F37">
        <f t="shared" si="7"/>
        <v>485.5</v>
      </c>
      <c r="G37">
        <f t="shared" si="8"/>
        <v>-7.6035000020056032E-3</v>
      </c>
      <c r="I37">
        <f t="shared" si="9"/>
        <v>-7.6035000020056032E-3</v>
      </c>
      <c r="O37">
        <f t="shared" ca="1" si="10"/>
        <v>-1.0766280554130023E-2</v>
      </c>
      <c r="Q37" s="2">
        <f t="shared" si="11"/>
        <v>20413.245999999999</v>
      </c>
    </row>
    <row r="38" spans="1:17" x14ac:dyDescent="0.2">
      <c r="A38" s="52" t="s">
        <v>112</v>
      </c>
      <c r="B38" s="5" t="s">
        <v>37</v>
      </c>
      <c r="C38" s="27">
        <v>35460.919000000002</v>
      </c>
      <c r="D38" s="27" t="s">
        <v>53</v>
      </c>
      <c r="E38">
        <f t="shared" si="6"/>
        <v>492.99807672383349</v>
      </c>
      <c r="F38">
        <f t="shared" si="7"/>
        <v>493</v>
      </c>
      <c r="G38">
        <f t="shared" si="8"/>
        <v>-7.4810000005527399E-3</v>
      </c>
      <c r="I38">
        <f t="shared" si="9"/>
        <v>-7.4810000005527399E-3</v>
      </c>
      <c r="O38">
        <f t="shared" ca="1" si="10"/>
        <v>-1.0752584137957209E-2</v>
      </c>
      <c r="Q38" s="2">
        <f t="shared" si="11"/>
        <v>20442.419000000002</v>
      </c>
    </row>
    <row r="39" spans="1:17" x14ac:dyDescent="0.2">
      <c r="A39" s="52" t="s">
        <v>122</v>
      </c>
      <c r="B39" s="5" t="s">
        <v>37</v>
      </c>
      <c r="C39" s="27">
        <v>35725.423999999999</v>
      </c>
      <c r="D39" s="27" t="s">
        <v>53</v>
      </c>
      <c r="E39">
        <f t="shared" si="6"/>
        <v>560.99916780578042</v>
      </c>
      <c r="F39">
        <f t="shared" si="7"/>
        <v>561</v>
      </c>
      <c r="G39">
        <f t="shared" si="8"/>
        <v>-3.2370000044465996E-3</v>
      </c>
      <c r="I39">
        <f t="shared" si="9"/>
        <v>-3.2370000044465996E-3</v>
      </c>
      <c r="O39">
        <f t="shared" ca="1" si="10"/>
        <v>-1.0628403297990356E-2</v>
      </c>
      <c r="Q39" s="2">
        <f t="shared" si="11"/>
        <v>20706.923999999999</v>
      </c>
    </row>
    <row r="40" spans="1:17" x14ac:dyDescent="0.2">
      <c r="A40" s="52" t="s">
        <v>112</v>
      </c>
      <c r="B40" s="5" t="s">
        <v>37</v>
      </c>
      <c r="C40" s="27">
        <v>35814.892</v>
      </c>
      <c r="D40" s="27" t="s">
        <v>53</v>
      </c>
      <c r="E40">
        <f t="shared" si="6"/>
        <v>584.0003270160779</v>
      </c>
      <c r="F40">
        <f t="shared" si="7"/>
        <v>584</v>
      </c>
      <c r="G40">
        <f t="shared" si="8"/>
        <v>1.2720000013359822E-3</v>
      </c>
      <c r="I40">
        <f t="shared" si="9"/>
        <v>1.2720000013359822E-3</v>
      </c>
      <c r="O40">
        <f t="shared" ca="1" si="10"/>
        <v>-1.0586400955060391E-2</v>
      </c>
      <c r="Q40" s="2">
        <f t="shared" si="11"/>
        <v>20796.392</v>
      </c>
    </row>
    <row r="41" spans="1:17" x14ac:dyDescent="0.2">
      <c r="A41" s="52" t="s">
        <v>112</v>
      </c>
      <c r="B41" s="5" t="s">
        <v>37</v>
      </c>
      <c r="C41" s="27">
        <v>36332.211000000003</v>
      </c>
      <c r="D41" s="27" t="s">
        <v>53</v>
      </c>
      <c r="E41">
        <f t="shared" si="6"/>
        <v>716.99689206181347</v>
      </c>
      <c r="F41">
        <f t="shared" si="7"/>
        <v>717</v>
      </c>
      <c r="G41">
        <f t="shared" si="8"/>
        <v>-1.2088999996194616E-2</v>
      </c>
      <c r="I41">
        <f t="shared" si="9"/>
        <v>-1.2088999996194616E-2</v>
      </c>
      <c r="O41">
        <f t="shared" ca="1" si="10"/>
        <v>-1.034351784159581E-2</v>
      </c>
      <c r="Q41" s="2">
        <f t="shared" si="11"/>
        <v>21313.711000000003</v>
      </c>
    </row>
    <row r="42" spans="1:17" x14ac:dyDescent="0.2">
      <c r="A42" s="52" t="s">
        <v>122</v>
      </c>
      <c r="B42" s="5" t="s">
        <v>37</v>
      </c>
      <c r="C42" s="27">
        <v>36394.493999999999</v>
      </c>
      <c r="D42" s="27" t="s">
        <v>53</v>
      </c>
      <c r="E42">
        <f t="shared" si="6"/>
        <v>733.00911094560263</v>
      </c>
      <c r="F42">
        <f t="shared" si="7"/>
        <v>733</v>
      </c>
      <c r="G42">
        <f t="shared" si="8"/>
        <v>3.5438999999314547E-2</v>
      </c>
      <c r="I42">
        <f t="shared" si="9"/>
        <v>3.5438999999314547E-2</v>
      </c>
      <c r="O42">
        <f t="shared" ca="1" si="10"/>
        <v>-1.0314298820427139E-2</v>
      </c>
      <c r="Q42" s="2">
        <f t="shared" si="11"/>
        <v>21375.993999999999</v>
      </c>
    </row>
    <row r="43" spans="1:17" x14ac:dyDescent="0.2">
      <c r="A43" s="52" t="s">
        <v>122</v>
      </c>
      <c r="B43" s="5" t="s">
        <v>35</v>
      </c>
      <c r="C43" s="27">
        <v>36816.427000000003</v>
      </c>
      <c r="D43" s="27" t="s">
        <v>53</v>
      </c>
      <c r="E43">
        <f t="shared" si="6"/>
        <v>841.48306933383617</v>
      </c>
      <c r="F43">
        <f t="shared" si="7"/>
        <v>841.5</v>
      </c>
      <c r="G43">
        <f t="shared" si="8"/>
        <v>-6.5855499997269362E-2</v>
      </c>
      <c r="I43">
        <f t="shared" si="9"/>
        <v>-6.5855499997269362E-2</v>
      </c>
      <c r="O43">
        <f t="shared" ca="1" si="10"/>
        <v>-1.0116157333127086E-2</v>
      </c>
      <c r="Q43" s="2">
        <f t="shared" si="11"/>
        <v>21797.927000000003</v>
      </c>
    </row>
    <row r="44" spans="1:17" x14ac:dyDescent="0.2">
      <c r="A44" s="52" t="s">
        <v>139</v>
      </c>
      <c r="B44" s="5" t="s">
        <v>37</v>
      </c>
      <c r="C44" s="27">
        <v>36818.338000000003</v>
      </c>
      <c r="D44" s="27" t="s">
        <v>53</v>
      </c>
      <c r="E44">
        <f t="shared" si="6"/>
        <v>841.97436471599383</v>
      </c>
      <c r="F44">
        <f t="shared" si="7"/>
        <v>842</v>
      </c>
      <c r="G44">
        <f t="shared" si="8"/>
        <v>-9.9713999996311031E-2</v>
      </c>
      <c r="I44">
        <f t="shared" si="9"/>
        <v>-9.9713999996311031E-2</v>
      </c>
      <c r="O44">
        <f t="shared" ca="1" si="10"/>
        <v>-1.0115244238715564E-2</v>
      </c>
      <c r="Q44" s="2">
        <f t="shared" si="11"/>
        <v>21799.838000000003</v>
      </c>
    </row>
    <row r="45" spans="1:17" x14ac:dyDescent="0.2">
      <c r="A45" s="52" t="s">
        <v>139</v>
      </c>
      <c r="B45" s="5" t="s">
        <v>37</v>
      </c>
      <c r="C45" s="27">
        <v>36818.374000000003</v>
      </c>
      <c r="D45" s="27" t="s">
        <v>53</v>
      </c>
      <c r="E45">
        <f t="shared" si="6"/>
        <v>841.98361988802822</v>
      </c>
      <c r="F45">
        <f t="shared" si="7"/>
        <v>842</v>
      </c>
      <c r="G45">
        <f t="shared" si="8"/>
        <v>-6.3713999996252824E-2</v>
      </c>
      <c r="I45">
        <f t="shared" si="9"/>
        <v>-6.3713999996252824E-2</v>
      </c>
      <c r="O45">
        <f t="shared" ca="1" si="10"/>
        <v>-1.0115244238715564E-2</v>
      </c>
      <c r="Q45" s="2">
        <f t="shared" si="11"/>
        <v>21799.874000000003</v>
      </c>
    </row>
    <row r="46" spans="1:17" x14ac:dyDescent="0.2">
      <c r="A46" s="52" t="s">
        <v>139</v>
      </c>
      <c r="B46" s="5" t="s">
        <v>37</v>
      </c>
      <c r="C46" s="27">
        <v>36818.411</v>
      </c>
      <c r="D46" s="27" t="s">
        <v>53</v>
      </c>
      <c r="E46">
        <f t="shared" si="6"/>
        <v>841.99313214817369</v>
      </c>
      <c r="F46">
        <f t="shared" si="7"/>
        <v>842</v>
      </c>
      <c r="G46">
        <f t="shared" si="8"/>
        <v>-2.6713999999628868E-2</v>
      </c>
      <c r="I46">
        <f t="shared" si="9"/>
        <v>-2.6713999999628868E-2</v>
      </c>
      <c r="O46">
        <f t="shared" ca="1" si="10"/>
        <v>-1.0115244238715564E-2</v>
      </c>
      <c r="Q46" s="2">
        <f t="shared" si="11"/>
        <v>21799.911</v>
      </c>
    </row>
    <row r="47" spans="1:17" x14ac:dyDescent="0.2">
      <c r="A47" s="52" t="s">
        <v>122</v>
      </c>
      <c r="B47" s="5" t="s">
        <v>37</v>
      </c>
      <c r="C47" s="27">
        <v>37876.49</v>
      </c>
      <c r="D47" s="27" t="s">
        <v>53</v>
      </c>
      <c r="E47">
        <f t="shared" si="6"/>
        <v>1114.0126646745755</v>
      </c>
      <c r="F47">
        <f t="shared" si="7"/>
        <v>1114</v>
      </c>
      <c r="G47">
        <f t="shared" si="8"/>
        <v>4.9261999993177596E-2</v>
      </c>
      <c r="I47">
        <f t="shared" si="9"/>
        <v>4.9261999993177596E-2</v>
      </c>
      <c r="O47">
        <f t="shared" ca="1" si="10"/>
        <v>-9.6185208788481507E-3</v>
      </c>
      <c r="Q47" s="2">
        <f t="shared" si="11"/>
        <v>22857.989999999998</v>
      </c>
    </row>
    <row r="48" spans="1:17" x14ac:dyDescent="0.2">
      <c r="A48" s="11" t="s">
        <v>27</v>
      </c>
      <c r="B48" s="12"/>
      <c r="C48" s="13">
        <v>38265.43</v>
      </c>
      <c r="D48" s="27"/>
      <c r="E48">
        <f t="shared" si="6"/>
        <v>1214.0045149814237</v>
      </c>
      <c r="F48">
        <f t="shared" si="7"/>
        <v>1214</v>
      </c>
      <c r="G48">
        <f t="shared" si="8"/>
        <v>1.7562000000907574E-2</v>
      </c>
      <c r="I48">
        <f t="shared" si="9"/>
        <v>1.7562000000907574E-2</v>
      </c>
      <c r="O48">
        <f t="shared" ca="1" si="10"/>
        <v>-9.435901996543955E-3</v>
      </c>
      <c r="Q48" s="2">
        <f t="shared" si="11"/>
        <v>23246.93</v>
      </c>
    </row>
    <row r="49" spans="1:17" x14ac:dyDescent="0.2">
      <c r="A49" s="52" t="s">
        <v>122</v>
      </c>
      <c r="B49" s="5" t="s">
        <v>37</v>
      </c>
      <c r="C49" s="27">
        <v>38339.292000000001</v>
      </c>
      <c r="D49" s="27" t="s">
        <v>53</v>
      </c>
      <c r="E49">
        <f t="shared" si="6"/>
        <v>1232.9935571148233</v>
      </c>
      <c r="F49">
        <f t="shared" si="7"/>
        <v>1233</v>
      </c>
      <c r="G49">
        <f t="shared" si="8"/>
        <v>-2.5061000000278E-2</v>
      </c>
      <c r="I49">
        <f t="shared" si="9"/>
        <v>-2.5061000000278E-2</v>
      </c>
      <c r="O49">
        <f t="shared" ca="1" si="10"/>
        <v>-9.4012044089061587E-3</v>
      </c>
      <c r="Q49" s="2">
        <f t="shared" si="11"/>
        <v>23320.792000000001</v>
      </c>
    </row>
    <row r="50" spans="1:17" x14ac:dyDescent="0.2">
      <c r="A50" s="52" t="s">
        <v>159</v>
      </c>
      <c r="B50" s="5" t="s">
        <v>37</v>
      </c>
      <c r="C50" s="27">
        <v>43769.38</v>
      </c>
      <c r="D50" s="27" t="s">
        <v>53</v>
      </c>
      <c r="E50">
        <f t="shared" si="6"/>
        <v>2629.0046293856326</v>
      </c>
      <c r="F50">
        <f t="shared" si="7"/>
        <v>2629</v>
      </c>
      <c r="G50">
        <f t="shared" si="8"/>
        <v>1.8006999998760875E-2</v>
      </c>
      <c r="I50">
        <f t="shared" si="9"/>
        <v>1.8006999998760875E-2</v>
      </c>
      <c r="O50">
        <f t="shared" ca="1" si="10"/>
        <v>-6.85184481193958E-3</v>
      </c>
      <c r="Q50" s="2">
        <f t="shared" si="11"/>
        <v>28750.879999999997</v>
      </c>
    </row>
    <row r="51" spans="1:17" x14ac:dyDescent="0.2">
      <c r="A51" s="52" t="s">
        <v>165</v>
      </c>
      <c r="B51" s="5" t="s">
        <v>37</v>
      </c>
      <c r="C51" s="27">
        <v>45103.529000000002</v>
      </c>
      <c r="D51" s="27" t="s">
        <v>53</v>
      </c>
      <c r="E51">
        <f t="shared" si="6"/>
        <v>2971.9984770100241</v>
      </c>
      <c r="F51">
        <f t="shared" si="7"/>
        <v>2972</v>
      </c>
      <c r="G51">
        <f t="shared" si="8"/>
        <v>-5.9240000045974739E-3</v>
      </c>
      <c r="I51">
        <f t="shared" si="9"/>
        <v>-5.9240000045974739E-3</v>
      </c>
      <c r="O51">
        <f t="shared" ca="1" si="10"/>
        <v>-6.2254620456361877E-3</v>
      </c>
      <c r="Q51" s="2">
        <f t="shared" si="11"/>
        <v>30085.029000000002</v>
      </c>
    </row>
    <row r="52" spans="1:17" x14ac:dyDescent="0.2">
      <c r="A52" s="52" t="s">
        <v>169</v>
      </c>
      <c r="B52" s="5" t="s">
        <v>37</v>
      </c>
      <c r="C52" s="27">
        <v>45531.385999999999</v>
      </c>
      <c r="D52" s="27" t="s">
        <v>53</v>
      </c>
      <c r="E52">
        <f t="shared" si="6"/>
        <v>3081.995425374133</v>
      </c>
      <c r="F52">
        <f t="shared" si="7"/>
        <v>3082</v>
      </c>
      <c r="G52">
        <f t="shared" si="8"/>
        <v>-1.7793999999412335E-2</v>
      </c>
      <c r="I52">
        <f t="shared" si="9"/>
        <v>-1.7793999999412335E-2</v>
      </c>
      <c r="O52">
        <f t="shared" ca="1" si="10"/>
        <v>-6.0245812751015719E-3</v>
      </c>
      <c r="Q52" s="2">
        <f t="shared" si="11"/>
        <v>30512.885999999999</v>
      </c>
    </row>
    <row r="53" spans="1:17" x14ac:dyDescent="0.2">
      <c r="A53" s="52" t="s">
        <v>174</v>
      </c>
      <c r="B53" s="5" t="s">
        <v>37</v>
      </c>
      <c r="C53" s="27">
        <v>47472.298999999999</v>
      </c>
      <c r="D53" s="27" t="s">
        <v>53</v>
      </c>
      <c r="E53">
        <f t="shared" si="6"/>
        <v>3580.9810842279776</v>
      </c>
      <c r="F53">
        <f t="shared" si="7"/>
        <v>3581</v>
      </c>
      <c r="G53">
        <f t="shared" si="8"/>
        <v>-7.3577000002842396E-2</v>
      </c>
      <c r="I53">
        <f t="shared" si="9"/>
        <v>-7.3577000002842396E-2</v>
      </c>
      <c r="O53">
        <f t="shared" ca="1" si="10"/>
        <v>-5.1133130524036331E-3</v>
      </c>
      <c r="Q53" s="2">
        <f t="shared" si="11"/>
        <v>32453.798999999999</v>
      </c>
    </row>
    <row r="54" spans="1:17" x14ac:dyDescent="0.2">
      <c r="A54" s="52" t="s">
        <v>179</v>
      </c>
      <c r="B54" s="5" t="s">
        <v>37</v>
      </c>
      <c r="C54" s="27">
        <v>48176.34</v>
      </c>
      <c r="D54" s="27" t="s">
        <v>53</v>
      </c>
      <c r="E54">
        <f t="shared" si="6"/>
        <v>3761.9816557348499</v>
      </c>
      <c r="F54">
        <f t="shared" si="7"/>
        <v>3762</v>
      </c>
      <c r="G54">
        <f t="shared" si="8"/>
        <v>-7.1354000006977003E-2</v>
      </c>
      <c r="I54">
        <f t="shared" si="9"/>
        <v>-7.1354000006977003E-2</v>
      </c>
      <c r="O54">
        <f t="shared" ca="1" si="10"/>
        <v>-4.7827728754330388E-3</v>
      </c>
      <c r="Q54" s="2">
        <f t="shared" si="11"/>
        <v>33157.839999999997</v>
      </c>
    </row>
    <row r="55" spans="1:17" x14ac:dyDescent="0.2">
      <c r="A55" s="52" t="s">
        <v>182</v>
      </c>
      <c r="B55" s="5" t="s">
        <v>37</v>
      </c>
      <c r="C55" s="27">
        <v>48176.428</v>
      </c>
      <c r="D55" s="27" t="s">
        <v>53</v>
      </c>
      <c r="E55">
        <f t="shared" si="6"/>
        <v>3762.0042794887127</v>
      </c>
      <c r="F55">
        <f t="shared" si="7"/>
        <v>3762</v>
      </c>
      <c r="G55">
        <f t="shared" si="8"/>
        <v>1.6645999996399041E-2</v>
      </c>
      <c r="I55">
        <f t="shared" si="9"/>
        <v>1.6645999996399041E-2</v>
      </c>
      <c r="O55">
        <f t="shared" ca="1" si="10"/>
        <v>-4.7827728754330388E-3</v>
      </c>
      <c r="Q55" s="2">
        <f t="shared" si="11"/>
        <v>33157.928</v>
      </c>
    </row>
    <row r="56" spans="1:17" x14ac:dyDescent="0.2">
      <c r="A56" s="52" t="s">
        <v>186</v>
      </c>
      <c r="B56" s="5" t="s">
        <v>37</v>
      </c>
      <c r="C56" s="27">
        <v>48841.466</v>
      </c>
      <c r="D56" s="27" t="s">
        <v>53</v>
      </c>
      <c r="E56">
        <f t="shared" si="6"/>
        <v>3932.9776433606862</v>
      </c>
      <c r="F56">
        <f t="shared" si="7"/>
        <v>3933</v>
      </c>
      <c r="G56">
        <f t="shared" si="8"/>
        <v>-8.6961000000883359E-2</v>
      </c>
      <c r="I56">
        <f t="shared" si="9"/>
        <v>-8.6961000000883359E-2</v>
      </c>
      <c r="O56">
        <f t="shared" ca="1" si="10"/>
        <v>-4.4704945866928629E-3</v>
      </c>
      <c r="Q56" s="2">
        <f t="shared" si="11"/>
        <v>33822.966</v>
      </c>
    </row>
    <row r="57" spans="1:17" x14ac:dyDescent="0.2">
      <c r="A57" s="52" t="s">
        <v>186</v>
      </c>
      <c r="B57" s="5" t="s">
        <v>37</v>
      </c>
      <c r="C57" s="27">
        <v>48845.358</v>
      </c>
      <c r="D57" s="27" t="s">
        <v>53</v>
      </c>
      <c r="E57">
        <f t="shared" si="6"/>
        <v>3933.9782302928461</v>
      </c>
      <c r="F57">
        <f t="shared" si="7"/>
        <v>3934</v>
      </c>
      <c r="G57">
        <f t="shared" si="8"/>
        <v>-8.4678000006533694E-2</v>
      </c>
      <c r="I57">
        <f t="shared" si="9"/>
        <v>-8.4678000006533694E-2</v>
      </c>
      <c r="O57">
        <f t="shared" ca="1" si="10"/>
        <v>-4.4686683978698216E-3</v>
      </c>
      <c r="Q57" s="2">
        <f t="shared" si="11"/>
        <v>33826.858</v>
      </c>
    </row>
    <row r="58" spans="1:17" x14ac:dyDescent="0.2">
      <c r="A58" s="52" t="s">
        <v>192</v>
      </c>
      <c r="B58" s="5" t="s">
        <v>37</v>
      </c>
      <c r="C58" s="27">
        <v>49549.413999999997</v>
      </c>
      <c r="D58" s="27" t="s">
        <v>53</v>
      </c>
      <c r="E58">
        <f t="shared" si="6"/>
        <v>4114.9826581213993</v>
      </c>
      <c r="F58">
        <f t="shared" si="7"/>
        <v>4115</v>
      </c>
      <c r="G58">
        <f t="shared" si="8"/>
        <v>-6.7455000003974419E-2</v>
      </c>
      <c r="I58">
        <f t="shared" si="9"/>
        <v>-6.7455000003974419E-2</v>
      </c>
      <c r="O58">
        <f t="shared" ca="1" si="10"/>
        <v>-4.1381282208992265E-3</v>
      </c>
      <c r="Q58" s="2">
        <f t="shared" si="11"/>
        <v>34530.913999999997</v>
      </c>
    </row>
    <row r="59" spans="1:17" x14ac:dyDescent="0.2">
      <c r="A59" s="30" t="s">
        <v>26</v>
      </c>
      <c r="B59" s="31"/>
      <c r="C59" s="30">
        <v>49938.460899999998</v>
      </c>
      <c r="D59" s="32"/>
      <c r="E59">
        <f t="shared" si="6"/>
        <v>4215.0019911474265</v>
      </c>
      <c r="F59">
        <f t="shared" si="7"/>
        <v>4215</v>
      </c>
      <c r="G59">
        <f t="shared" si="8"/>
        <v>7.7449999953387305E-3</v>
      </c>
      <c r="I59">
        <f t="shared" si="9"/>
        <v>7.7449999953387305E-3</v>
      </c>
      <c r="O59">
        <f t="shared" ca="1" si="10"/>
        <v>-3.9555093385950299E-3</v>
      </c>
      <c r="Q59" s="2">
        <f t="shared" si="11"/>
        <v>34919.960899999998</v>
      </c>
    </row>
    <row r="60" spans="1:17" x14ac:dyDescent="0.2">
      <c r="A60" s="52" t="s">
        <v>202</v>
      </c>
      <c r="B60" s="5" t="s">
        <v>35</v>
      </c>
      <c r="C60" s="27">
        <v>51029.5</v>
      </c>
      <c r="D60" s="27" t="s">
        <v>53</v>
      </c>
      <c r="E60">
        <f t="shared" si="6"/>
        <v>4495.4951735563272</v>
      </c>
      <c r="F60">
        <f t="shared" si="7"/>
        <v>4495.5</v>
      </c>
      <c r="G60">
        <f t="shared" si="8"/>
        <v>-1.8773500007227995E-2</v>
      </c>
      <c r="I60">
        <f t="shared" si="9"/>
        <v>-1.8773500007227995E-2</v>
      </c>
      <c r="O60">
        <f t="shared" ca="1" si="10"/>
        <v>-3.443263373731761E-3</v>
      </c>
      <c r="Q60" s="2">
        <f t="shared" si="11"/>
        <v>36011</v>
      </c>
    </row>
    <row r="61" spans="1:17" x14ac:dyDescent="0.2">
      <c r="A61" s="52" t="s">
        <v>205</v>
      </c>
      <c r="B61" s="5" t="s">
        <v>37</v>
      </c>
      <c r="C61" s="27">
        <v>51385.438999999998</v>
      </c>
      <c r="D61" s="27" t="s">
        <v>53</v>
      </c>
      <c r="E61">
        <f t="shared" si="6"/>
        <v>4587.0028590768934</v>
      </c>
      <c r="F61">
        <f t="shared" si="7"/>
        <v>4587</v>
      </c>
      <c r="G61">
        <f t="shared" si="8"/>
        <v>1.1120999995910097E-2</v>
      </c>
      <c r="I61">
        <f t="shared" si="9"/>
        <v>1.1120999995910097E-2</v>
      </c>
      <c r="O61">
        <f t="shared" ca="1" si="10"/>
        <v>-3.2761670964234213E-3</v>
      </c>
      <c r="Q61" s="2">
        <f t="shared" si="11"/>
        <v>36366.938999999998</v>
      </c>
    </row>
    <row r="62" spans="1:17" x14ac:dyDescent="0.2">
      <c r="A62" s="52" t="s">
        <v>210</v>
      </c>
      <c r="B62" s="5" t="s">
        <v>37</v>
      </c>
      <c r="C62" s="27">
        <v>53933.215600000003</v>
      </c>
      <c r="D62" s="27" t="s">
        <v>53</v>
      </c>
      <c r="E62">
        <f t="shared" si="6"/>
        <v>5242.0059351361551</v>
      </c>
      <c r="F62">
        <f t="shared" si="7"/>
        <v>5242</v>
      </c>
      <c r="G62">
        <f t="shared" si="8"/>
        <v>2.3086000001057982E-2</v>
      </c>
      <c r="I62">
        <f t="shared" si="9"/>
        <v>2.3086000001057982E-2</v>
      </c>
      <c r="O62">
        <f t="shared" ca="1" si="10"/>
        <v>-2.0800134173309358E-3</v>
      </c>
      <c r="Q62" s="2">
        <f t="shared" si="11"/>
        <v>38914.715600000003</v>
      </c>
    </row>
    <row r="63" spans="1:17" x14ac:dyDescent="0.2">
      <c r="A63" s="52" t="s">
        <v>210</v>
      </c>
      <c r="B63" s="5" t="s">
        <v>37</v>
      </c>
      <c r="C63" s="27">
        <v>53972.095399999998</v>
      </c>
      <c r="D63" s="27" t="s">
        <v>53</v>
      </c>
      <c r="E63">
        <f t="shared" si="6"/>
        <v>5252.0014695156478</v>
      </c>
      <c r="F63">
        <f t="shared" si="7"/>
        <v>5252</v>
      </c>
      <c r="G63">
        <f t="shared" si="8"/>
        <v>5.7159999923896976E-3</v>
      </c>
      <c r="I63">
        <f t="shared" si="9"/>
        <v>5.7159999923896976E-3</v>
      </c>
      <c r="O63">
        <f t="shared" ca="1" si="10"/>
        <v>-2.0617515291005174E-3</v>
      </c>
      <c r="Q63" s="2">
        <f t="shared" si="11"/>
        <v>38953.595399999998</v>
      </c>
    </row>
    <row r="64" spans="1:17" x14ac:dyDescent="0.2">
      <c r="A64" s="28" t="s">
        <v>34</v>
      </c>
      <c r="B64" s="29" t="s">
        <v>35</v>
      </c>
      <c r="C64" s="28">
        <v>55358.779900000001</v>
      </c>
      <c r="D64" s="28">
        <v>1.4E-3</v>
      </c>
      <c r="E64">
        <f t="shared" si="6"/>
        <v>5608.5015696514683</v>
      </c>
      <c r="F64">
        <f t="shared" si="7"/>
        <v>5608.5</v>
      </c>
      <c r="G64">
        <f t="shared" si="8"/>
        <v>6.1055000041960739E-3</v>
      </c>
      <c r="I64">
        <f t="shared" si="9"/>
        <v>6.1055000041960739E-3</v>
      </c>
      <c r="O64">
        <f t="shared" ca="1" si="10"/>
        <v>-1.4107152136860583E-3</v>
      </c>
      <c r="Q64" s="2">
        <f t="shared" si="11"/>
        <v>40340.279900000001</v>
      </c>
    </row>
    <row r="65" spans="1:17" x14ac:dyDescent="0.2">
      <c r="A65" s="33" t="s">
        <v>36</v>
      </c>
      <c r="B65" s="34" t="s">
        <v>37</v>
      </c>
      <c r="C65" s="32">
        <v>56111.447639999999</v>
      </c>
      <c r="D65" s="32">
        <v>4.0000000000000002E-4</v>
      </c>
      <c r="E65">
        <f t="shared" si="6"/>
        <v>5802.003497940852</v>
      </c>
      <c r="F65">
        <f t="shared" si="7"/>
        <v>5802</v>
      </c>
      <c r="G65">
        <f t="shared" si="8"/>
        <v>1.3605999993160367E-2</v>
      </c>
      <c r="I65">
        <f t="shared" si="9"/>
        <v>1.3605999993160367E-2</v>
      </c>
      <c r="O65">
        <f t="shared" ca="1" si="10"/>
        <v>-1.0573476764274385E-3</v>
      </c>
      <c r="Q65" s="2">
        <f t="shared" si="11"/>
        <v>41092.947639999999</v>
      </c>
    </row>
    <row r="66" spans="1:17" x14ac:dyDescent="0.2">
      <c r="A66" s="33" t="s">
        <v>38</v>
      </c>
      <c r="B66" s="34" t="s">
        <v>35</v>
      </c>
      <c r="C66" s="32">
        <v>56447.904900000001</v>
      </c>
      <c r="D66" s="32">
        <v>6.9999999999999999E-4</v>
      </c>
      <c r="E66">
        <f t="shared" si="6"/>
        <v>5888.5026597050628</v>
      </c>
      <c r="F66">
        <f t="shared" si="7"/>
        <v>5888.5</v>
      </c>
      <c r="G66">
        <f t="shared" si="8"/>
        <v>1.0345499998948071E-2</v>
      </c>
      <c r="I66">
        <f t="shared" si="9"/>
        <v>1.0345499998948071E-2</v>
      </c>
      <c r="O66">
        <f t="shared" ca="1" si="10"/>
        <v>-8.9938234323430795E-4</v>
      </c>
      <c r="Q66" s="2">
        <f t="shared" si="11"/>
        <v>41429.404900000001</v>
      </c>
    </row>
    <row r="67" spans="1:17" x14ac:dyDescent="0.2">
      <c r="A67" s="33" t="s">
        <v>38</v>
      </c>
      <c r="B67" s="34" t="s">
        <v>35</v>
      </c>
      <c r="C67" s="32">
        <v>56447.911599999999</v>
      </c>
      <c r="D67" s="32">
        <v>5.9999999999999995E-4</v>
      </c>
      <c r="E67">
        <f t="shared" si="6"/>
        <v>5888.5043821954132</v>
      </c>
      <c r="F67">
        <f t="shared" si="7"/>
        <v>5888.5</v>
      </c>
      <c r="G67">
        <f t="shared" si="8"/>
        <v>1.704549999703886E-2</v>
      </c>
      <c r="I67">
        <f t="shared" si="9"/>
        <v>1.704549999703886E-2</v>
      </c>
      <c r="O67">
        <f t="shared" ca="1" si="10"/>
        <v>-8.9938234323430795E-4</v>
      </c>
      <c r="Q67" s="2">
        <f t="shared" si="11"/>
        <v>41429.411599999999</v>
      </c>
    </row>
    <row r="68" spans="1:17" x14ac:dyDescent="0.2">
      <c r="A68" s="35" t="s">
        <v>42</v>
      </c>
      <c r="B68" s="36" t="s">
        <v>37</v>
      </c>
      <c r="C68" s="37">
        <v>56500.417000000001</v>
      </c>
      <c r="D68" s="38">
        <v>8.0000000000000004E-4</v>
      </c>
      <c r="E68">
        <f t="shared" si="6"/>
        <v>5902.0028963546702</v>
      </c>
      <c r="F68">
        <f t="shared" si="7"/>
        <v>5902</v>
      </c>
      <c r="G68">
        <f t="shared" si="8"/>
        <v>1.1266000001342036E-2</v>
      </c>
      <c r="I68">
        <f t="shared" si="9"/>
        <v>1.1266000001342036E-2</v>
      </c>
      <c r="O68">
        <f t="shared" ca="1" si="10"/>
        <v>-8.7472879412324282E-4</v>
      </c>
      <c r="Q68" s="2">
        <f t="shared" si="11"/>
        <v>41481.917000000001</v>
      </c>
    </row>
    <row r="69" spans="1:17" x14ac:dyDescent="0.2">
      <c r="A69" s="33" t="s">
        <v>36</v>
      </c>
      <c r="B69" s="34" t="s">
        <v>37</v>
      </c>
      <c r="C69" s="32">
        <v>56500.433799999999</v>
      </c>
      <c r="D69" s="32">
        <v>6.9999999999999999E-4</v>
      </c>
      <c r="E69">
        <f t="shared" si="6"/>
        <v>5902.0072154349518</v>
      </c>
      <c r="F69">
        <f t="shared" si="7"/>
        <v>5902</v>
      </c>
      <c r="G69">
        <f t="shared" si="8"/>
        <v>2.806599999894388E-2</v>
      </c>
      <c r="I69">
        <f t="shared" si="9"/>
        <v>2.806599999894388E-2</v>
      </c>
      <c r="O69">
        <f t="shared" ca="1" si="10"/>
        <v>-8.7472879412324282E-4</v>
      </c>
      <c r="Q69" s="2">
        <f t="shared" si="11"/>
        <v>41481.933799999999</v>
      </c>
    </row>
    <row r="70" spans="1:17" x14ac:dyDescent="0.2">
      <c r="A70" s="53" t="s">
        <v>250</v>
      </c>
      <c r="B70" s="54"/>
      <c r="C70" s="53" t="s">
        <v>251</v>
      </c>
      <c r="D70" s="53">
        <v>1.89E-2</v>
      </c>
      <c r="E70">
        <f t="shared" si="6"/>
        <v>6083.0045733404249</v>
      </c>
      <c r="F70">
        <f t="shared" si="7"/>
        <v>6083</v>
      </c>
      <c r="G70">
        <f t="shared" si="8"/>
        <v>1.7788999997719657E-2</v>
      </c>
      <c r="I70">
        <f t="shared" si="9"/>
        <v>1.7788999997719657E-2</v>
      </c>
      <c r="O70">
        <f t="shared" ca="1" si="10"/>
        <v>-5.441886171526477E-4</v>
      </c>
      <c r="Q70" s="2">
        <f t="shared" si="11"/>
        <v>42185.962299999999</v>
      </c>
    </row>
    <row r="71" spans="1:17" ht="12" customHeight="1" x14ac:dyDescent="0.2">
      <c r="A71" s="55" t="s">
        <v>252</v>
      </c>
      <c r="B71" s="56" t="s">
        <v>37</v>
      </c>
      <c r="C71" s="57">
        <v>57558.425289999999</v>
      </c>
      <c r="D71" s="57">
        <v>2E-3</v>
      </c>
      <c r="E71">
        <f t="shared" si="6"/>
        <v>6174.0042501806674</v>
      </c>
      <c r="F71">
        <f t="shared" si="7"/>
        <v>6174</v>
      </c>
      <c r="G71">
        <f t="shared" si="8"/>
        <v>1.6531999994185753E-2</v>
      </c>
      <c r="I71">
        <f t="shared" si="9"/>
        <v>1.6531999994185753E-2</v>
      </c>
      <c r="O71">
        <f t="shared" ca="1" si="10"/>
        <v>-3.7800543425582818E-4</v>
      </c>
      <c r="Q71" s="2">
        <f t="shared" si="11"/>
        <v>42539.925289999999</v>
      </c>
    </row>
    <row r="72" spans="1:17" ht="12" customHeight="1" x14ac:dyDescent="0.2">
      <c r="A72" s="58" t="s">
        <v>253</v>
      </c>
      <c r="B72" s="59" t="s">
        <v>37</v>
      </c>
      <c r="C72" s="60">
        <v>59075.41</v>
      </c>
      <c r="D72" s="60">
        <v>5.9999999999999995E-4</v>
      </c>
      <c r="E72">
        <f t="shared" si="6"/>
        <v>6564.0029853071574</v>
      </c>
      <c r="F72">
        <f t="shared" si="7"/>
        <v>6564</v>
      </c>
      <c r="G72">
        <f t="shared" si="8"/>
        <v>1.1612000002060086E-2</v>
      </c>
      <c r="I72">
        <f t="shared" si="9"/>
        <v>1.1612000002060086E-2</v>
      </c>
      <c r="O72">
        <f t="shared" ca="1" si="10"/>
        <v>3.3420820673053624E-4</v>
      </c>
      <c r="Q72" s="2">
        <f t="shared" si="11"/>
        <v>44056.91</v>
      </c>
    </row>
    <row r="73" spans="1:17" ht="12" customHeight="1" x14ac:dyDescent="0.2">
      <c r="A73" s="58" t="s">
        <v>254</v>
      </c>
      <c r="B73" s="59" t="s">
        <v>37</v>
      </c>
      <c r="C73" s="60">
        <v>59425.489500000003</v>
      </c>
      <c r="D73" s="60">
        <v>4.0000000000000002E-4</v>
      </c>
      <c r="E73">
        <f t="shared" si="6"/>
        <v>6654.0042630350745</v>
      </c>
      <c r="F73">
        <f t="shared" si="7"/>
        <v>6654</v>
      </c>
      <c r="G73">
        <f t="shared" si="8"/>
        <v>1.6582000003836583E-2</v>
      </c>
      <c r="I73">
        <f t="shared" si="9"/>
        <v>1.6582000003836583E-2</v>
      </c>
      <c r="O73">
        <f t="shared" ca="1" si="10"/>
        <v>4.9856520080431184E-4</v>
      </c>
      <c r="Q73" s="2">
        <f t="shared" si="11"/>
        <v>44406.989500000003</v>
      </c>
    </row>
    <row r="74" spans="1:17" ht="12" customHeight="1" x14ac:dyDescent="0.2">
      <c r="A74" s="61" t="s">
        <v>255</v>
      </c>
      <c r="B74" s="62" t="s">
        <v>37</v>
      </c>
      <c r="C74" s="63">
        <v>59810.574800000002</v>
      </c>
      <c r="D74" s="64">
        <v>5.9999999999999995E-4</v>
      </c>
      <c r="E74">
        <f t="shared" si="6"/>
        <v>6753.0051157963417</v>
      </c>
      <c r="F74">
        <f t="shared" si="7"/>
        <v>6753</v>
      </c>
      <c r="G74">
        <f t="shared" si="8"/>
        <v>1.9898999998986255E-2</v>
      </c>
      <c r="I74">
        <f t="shared" si="9"/>
        <v>1.9898999998986255E-2</v>
      </c>
      <c r="O74">
        <f t="shared" ca="1" si="10"/>
        <v>6.7935789428546708E-4</v>
      </c>
      <c r="Q74" s="2">
        <f t="shared" si="11"/>
        <v>44792.074800000002</v>
      </c>
    </row>
    <row r="75" spans="1:17" ht="12" customHeight="1" x14ac:dyDescent="0.25">
      <c r="A75" s="61" t="s">
        <v>256</v>
      </c>
      <c r="B75" s="65" t="s">
        <v>37</v>
      </c>
      <c r="C75" s="66">
        <v>60164.553800000002</v>
      </c>
      <c r="D75" s="66">
        <v>4.0000000000000002E-4</v>
      </c>
      <c r="E75">
        <f t="shared" ref="E75" si="12">+(C75-C$7)/C$8</f>
        <v>6844.0089086172593</v>
      </c>
      <c r="F75">
        <f t="shared" ref="F75" si="13">ROUND(2*E75,0)/2</f>
        <v>6844</v>
      </c>
      <c r="G75">
        <f t="shared" ref="G75" si="14">+C75-(C$7+F75*C$8)</f>
        <v>3.4651999994821381E-2</v>
      </c>
      <c r="I75">
        <f t="shared" ref="I75" si="15">+G75</f>
        <v>3.4651999994821381E-2</v>
      </c>
      <c r="O75">
        <f t="shared" ref="O75" ca="1" si="16">+C$11+C$12*$F75</f>
        <v>8.4554107718228487E-4</v>
      </c>
      <c r="Q75" s="2">
        <f t="shared" ref="Q75" si="17">+C75-15018.5</f>
        <v>45146.053800000002</v>
      </c>
    </row>
    <row r="76" spans="1:17" ht="12" customHeight="1" x14ac:dyDescent="0.2">
      <c r="C76" s="27"/>
      <c r="D76" s="27"/>
    </row>
    <row r="77" spans="1:17" ht="12" customHeight="1" x14ac:dyDescent="0.2">
      <c r="C77" s="27"/>
      <c r="D77" s="27"/>
    </row>
    <row r="78" spans="1:17" ht="12" customHeight="1" x14ac:dyDescent="0.2">
      <c r="C78" s="27"/>
      <c r="D78" s="27"/>
    </row>
    <row r="79" spans="1:17" x14ac:dyDescent="0.2">
      <c r="C79" s="27"/>
      <c r="D79" s="27"/>
    </row>
    <row r="80" spans="1:17" x14ac:dyDescent="0.2">
      <c r="C80" s="27"/>
      <c r="D80" s="27"/>
    </row>
    <row r="81" spans="3:4" x14ac:dyDescent="0.2">
      <c r="C81" s="27"/>
      <c r="D81" s="27"/>
    </row>
    <row r="82" spans="3:4" x14ac:dyDescent="0.2">
      <c r="C82" s="27"/>
      <c r="D82" s="27"/>
    </row>
    <row r="83" spans="3:4" x14ac:dyDescent="0.2">
      <c r="C83" s="27"/>
      <c r="D83" s="27"/>
    </row>
    <row r="84" spans="3:4" x14ac:dyDescent="0.2">
      <c r="C84" s="27"/>
      <c r="D84" s="27"/>
    </row>
    <row r="85" spans="3:4" x14ac:dyDescent="0.2">
      <c r="C85" s="27"/>
      <c r="D85" s="27"/>
    </row>
    <row r="86" spans="3:4" x14ac:dyDescent="0.2">
      <c r="C86" s="27"/>
      <c r="D86" s="27"/>
    </row>
    <row r="87" spans="3:4" x14ac:dyDescent="0.2">
      <c r="C87" s="27"/>
      <c r="D87" s="27"/>
    </row>
    <row r="88" spans="3:4" x14ac:dyDescent="0.2">
      <c r="C88" s="27"/>
      <c r="D88" s="27"/>
    </row>
    <row r="89" spans="3:4" x14ac:dyDescent="0.2">
      <c r="C89" s="27"/>
      <c r="D89" s="27"/>
    </row>
    <row r="90" spans="3:4" x14ac:dyDescent="0.2">
      <c r="C90" s="27"/>
      <c r="D90" s="27"/>
    </row>
    <row r="91" spans="3:4" x14ac:dyDescent="0.2">
      <c r="C91" s="27"/>
      <c r="D91" s="27"/>
    </row>
    <row r="92" spans="3:4" x14ac:dyDescent="0.2">
      <c r="C92" s="27"/>
      <c r="D92" s="27"/>
    </row>
    <row r="93" spans="3:4" x14ac:dyDescent="0.2">
      <c r="C93" s="27"/>
      <c r="D93" s="27"/>
    </row>
    <row r="94" spans="3:4" x14ac:dyDescent="0.2">
      <c r="C94" s="27"/>
      <c r="D94" s="27"/>
    </row>
    <row r="95" spans="3:4" x14ac:dyDescent="0.2">
      <c r="C95" s="27"/>
      <c r="D95" s="27"/>
    </row>
    <row r="96" spans="3:4" x14ac:dyDescent="0.2">
      <c r="C96" s="27"/>
      <c r="D96" s="27"/>
    </row>
    <row r="97" spans="3:4" x14ac:dyDescent="0.2">
      <c r="C97" s="27"/>
      <c r="D97" s="27"/>
    </row>
    <row r="98" spans="3:4" x14ac:dyDescent="0.2">
      <c r="C98" s="27"/>
      <c r="D98" s="27"/>
    </row>
    <row r="99" spans="3:4" x14ac:dyDescent="0.2">
      <c r="C99" s="27"/>
      <c r="D99" s="27"/>
    </row>
    <row r="100" spans="3:4" x14ac:dyDescent="0.2">
      <c r="C100" s="27"/>
      <c r="D100" s="27"/>
    </row>
    <row r="101" spans="3:4" x14ac:dyDescent="0.2">
      <c r="C101" s="27"/>
      <c r="D101" s="27"/>
    </row>
    <row r="102" spans="3:4" x14ac:dyDescent="0.2">
      <c r="C102" s="27"/>
      <c r="D102" s="27"/>
    </row>
    <row r="103" spans="3:4" x14ac:dyDescent="0.2">
      <c r="C103" s="27"/>
      <c r="D103" s="27"/>
    </row>
    <row r="104" spans="3:4" x14ac:dyDescent="0.2">
      <c r="C104" s="27"/>
      <c r="D104" s="27"/>
    </row>
    <row r="105" spans="3:4" x14ac:dyDescent="0.2">
      <c r="C105" s="27"/>
      <c r="D105" s="27"/>
    </row>
    <row r="106" spans="3:4" x14ac:dyDescent="0.2">
      <c r="C106" s="27"/>
      <c r="D106" s="27"/>
    </row>
    <row r="107" spans="3:4" x14ac:dyDescent="0.2">
      <c r="C107" s="27"/>
      <c r="D107" s="27"/>
    </row>
    <row r="108" spans="3:4" x14ac:dyDescent="0.2">
      <c r="C108" s="27"/>
      <c r="D108" s="27"/>
    </row>
    <row r="109" spans="3:4" x14ac:dyDescent="0.2">
      <c r="C109" s="27"/>
      <c r="D109" s="27"/>
    </row>
    <row r="110" spans="3:4" x14ac:dyDescent="0.2">
      <c r="C110" s="27"/>
      <c r="D110" s="27"/>
    </row>
    <row r="111" spans="3:4" x14ac:dyDescent="0.2">
      <c r="C111" s="27"/>
      <c r="D111" s="27"/>
    </row>
    <row r="112" spans="3:4" x14ac:dyDescent="0.2">
      <c r="C112" s="27"/>
      <c r="D112" s="27"/>
    </row>
    <row r="113" spans="3:4" x14ac:dyDescent="0.2">
      <c r="C113" s="27"/>
      <c r="D113" s="27"/>
    </row>
    <row r="114" spans="3:4" x14ac:dyDescent="0.2">
      <c r="C114" s="27"/>
      <c r="D114" s="27"/>
    </row>
    <row r="115" spans="3:4" x14ac:dyDescent="0.2">
      <c r="C115" s="27"/>
      <c r="D115" s="27"/>
    </row>
    <row r="116" spans="3:4" x14ac:dyDescent="0.2">
      <c r="C116" s="27"/>
      <c r="D116" s="27"/>
    </row>
    <row r="117" spans="3:4" x14ac:dyDescent="0.2">
      <c r="C117" s="27"/>
      <c r="D117" s="27"/>
    </row>
    <row r="118" spans="3:4" x14ac:dyDescent="0.2">
      <c r="C118" s="27"/>
      <c r="D118" s="27"/>
    </row>
    <row r="119" spans="3:4" x14ac:dyDescent="0.2">
      <c r="C119" s="27"/>
      <c r="D119" s="27"/>
    </row>
    <row r="120" spans="3:4" x14ac:dyDescent="0.2">
      <c r="C120" s="27"/>
      <c r="D120" s="27"/>
    </row>
    <row r="121" spans="3:4" x14ac:dyDescent="0.2">
      <c r="C121" s="27"/>
      <c r="D121" s="27"/>
    </row>
    <row r="122" spans="3:4" x14ac:dyDescent="0.2">
      <c r="C122" s="27"/>
      <c r="D122" s="27"/>
    </row>
    <row r="123" spans="3:4" x14ac:dyDescent="0.2">
      <c r="C123" s="27"/>
      <c r="D123" s="27"/>
    </row>
    <row r="124" spans="3:4" x14ac:dyDescent="0.2">
      <c r="C124" s="27"/>
      <c r="D124" s="27"/>
    </row>
    <row r="125" spans="3:4" x14ac:dyDescent="0.2">
      <c r="C125" s="27"/>
      <c r="D125" s="27"/>
    </row>
    <row r="126" spans="3:4" x14ac:dyDescent="0.2">
      <c r="C126" s="27"/>
      <c r="D126" s="27"/>
    </row>
    <row r="127" spans="3:4" x14ac:dyDescent="0.2">
      <c r="C127" s="27"/>
      <c r="D127" s="27"/>
    </row>
    <row r="128" spans="3:4" x14ac:dyDescent="0.2">
      <c r="C128" s="27"/>
      <c r="D128" s="27"/>
    </row>
    <row r="129" spans="3:4" x14ac:dyDescent="0.2">
      <c r="C129" s="27"/>
      <c r="D129" s="27"/>
    </row>
    <row r="130" spans="3:4" x14ac:dyDescent="0.2">
      <c r="C130" s="27"/>
      <c r="D130" s="27"/>
    </row>
    <row r="131" spans="3:4" x14ac:dyDescent="0.2">
      <c r="C131" s="27"/>
      <c r="D131" s="27"/>
    </row>
    <row r="132" spans="3:4" x14ac:dyDescent="0.2">
      <c r="C132" s="27"/>
      <c r="D132" s="27"/>
    </row>
    <row r="133" spans="3:4" x14ac:dyDescent="0.2">
      <c r="C133" s="27"/>
      <c r="D133" s="27"/>
    </row>
    <row r="134" spans="3:4" x14ac:dyDescent="0.2">
      <c r="C134" s="27"/>
      <c r="D134" s="27"/>
    </row>
    <row r="135" spans="3:4" x14ac:dyDescent="0.2">
      <c r="C135" s="27"/>
      <c r="D135" s="27"/>
    </row>
    <row r="136" spans="3:4" x14ac:dyDescent="0.2">
      <c r="C136" s="27"/>
      <c r="D136" s="27"/>
    </row>
    <row r="137" spans="3:4" x14ac:dyDescent="0.2">
      <c r="C137" s="27"/>
      <c r="D137" s="27"/>
    </row>
    <row r="138" spans="3:4" x14ac:dyDescent="0.2">
      <c r="C138" s="27"/>
      <c r="D138" s="27"/>
    </row>
    <row r="139" spans="3:4" x14ac:dyDescent="0.2">
      <c r="C139" s="27"/>
      <c r="D139" s="27"/>
    </row>
    <row r="140" spans="3:4" x14ac:dyDescent="0.2">
      <c r="C140" s="27"/>
      <c r="D140" s="27"/>
    </row>
    <row r="141" spans="3:4" x14ac:dyDescent="0.2">
      <c r="C141" s="27"/>
      <c r="D141" s="27"/>
    </row>
    <row r="142" spans="3:4" x14ac:dyDescent="0.2">
      <c r="C142" s="27"/>
      <c r="D142" s="27"/>
    </row>
    <row r="143" spans="3:4" x14ac:dyDescent="0.2">
      <c r="C143" s="27"/>
      <c r="D143" s="27"/>
    </row>
    <row r="144" spans="3:4" x14ac:dyDescent="0.2">
      <c r="C144" s="27"/>
      <c r="D144" s="27"/>
    </row>
    <row r="145" spans="3:4" x14ac:dyDescent="0.2">
      <c r="C145" s="27"/>
      <c r="D145" s="27"/>
    </row>
    <row r="146" spans="3:4" x14ac:dyDescent="0.2">
      <c r="C146" s="27"/>
      <c r="D146" s="27"/>
    </row>
    <row r="147" spans="3:4" x14ac:dyDescent="0.2">
      <c r="C147" s="27"/>
      <c r="D147" s="27"/>
    </row>
    <row r="148" spans="3:4" x14ac:dyDescent="0.2">
      <c r="C148" s="27"/>
      <c r="D148" s="27"/>
    </row>
    <row r="149" spans="3:4" x14ac:dyDescent="0.2">
      <c r="C149" s="27"/>
      <c r="D149" s="27"/>
    </row>
    <row r="150" spans="3:4" x14ac:dyDescent="0.2">
      <c r="C150" s="27"/>
      <c r="D150" s="27"/>
    </row>
    <row r="151" spans="3:4" x14ac:dyDescent="0.2">
      <c r="C151" s="27"/>
      <c r="D151" s="27"/>
    </row>
    <row r="152" spans="3:4" x14ac:dyDescent="0.2">
      <c r="C152" s="27"/>
      <c r="D152" s="27"/>
    </row>
    <row r="153" spans="3:4" x14ac:dyDescent="0.2">
      <c r="C153" s="27"/>
      <c r="D153" s="27"/>
    </row>
  </sheetData>
  <sortState xmlns:xlrd2="http://schemas.microsoft.com/office/spreadsheetml/2017/richdata2" ref="A21:Q75">
    <sortCondition ref="C21:C75"/>
  </sortState>
  <phoneticPr fontId="7" type="noConversion"/>
  <hyperlinks>
    <hyperlink ref="H343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3"/>
  <sheetViews>
    <sheetView topLeftCell="A18" workbookViewId="0">
      <selection activeCell="A19" sqref="A19:D59"/>
    </sheetView>
  </sheetViews>
  <sheetFormatPr defaultRowHeight="12.75" x14ac:dyDescent="0.2"/>
  <cols>
    <col min="1" max="1" width="19.7109375" style="27" customWidth="1"/>
    <col min="2" max="2" width="4.42578125" style="10" customWidth="1"/>
    <col min="3" max="3" width="12.7109375" style="27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27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43</v>
      </c>
      <c r="I1" s="40" t="s">
        <v>44</v>
      </c>
      <c r="J1" s="41" t="s">
        <v>45</v>
      </c>
    </row>
    <row r="2" spans="1:16" x14ac:dyDescent="0.2">
      <c r="I2" s="42" t="s">
        <v>46</v>
      </c>
      <c r="J2" s="43" t="s">
        <v>47</v>
      </c>
    </row>
    <row r="3" spans="1:16" x14ac:dyDescent="0.2">
      <c r="A3" s="44" t="s">
        <v>48</v>
      </c>
      <c r="I3" s="42" t="s">
        <v>49</v>
      </c>
      <c r="J3" s="43" t="s">
        <v>50</v>
      </c>
    </row>
    <row r="4" spans="1:16" x14ac:dyDescent="0.2">
      <c r="I4" s="42" t="s">
        <v>51</v>
      </c>
      <c r="J4" s="43" t="s">
        <v>50</v>
      </c>
    </row>
    <row r="5" spans="1:16" ht="13.5" thickBot="1" x14ac:dyDescent="0.25">
      <c r="I5" s="45" t="s">
        <v>52</v>
      </c>
      <c r="J5" s="46" t="s">
        <v>53</v>
      </c>
    </row>
    <row r="10" spans="1:16" ht="13.5" thickBot="1" x14ac:dyDescent="0.25"/>
    <row r="11" spans="1:16" ht="12.75" customHeight="1" thickBot="1" x14ac:dyDescent="0.25">
      <c r="A11" s="27" t="str">
        <f t="shared" ref="A11:A42" si="0">P11</f>
        <v>IBVS 6063 </v>
      </c>
      <c r="B11" s="5" t="str">
        <f t="shared" ref="B11:B42" si="1">IF(H11=INT(H11),"I","II")</f>
        <v>II</v>
      </c>
      <c r="C11" s="27">
        <f t="shared" ref="C11:C42" si="2">1*G11</f>
        <v>56447.911599999999</v>
      </c>
      <c r="D11" s="10" t="str">
        <f t="shared" ref="D11:D42" si="3">VLOOKUP(F11,I$1:J$5,2,FALSE)</f>
        <v>vis</v>
      </c>
      <c r="E11" s="47">
        <f>VLOOKUP(C11,Active!C$21:E$973,3,FALSE)</f>
        <v>5888.5043821954132</v>
      </c>
      <c r="F11" s="5" t="s">
        <v>52</v>
      </c>
      <c r="G11" s="10" t="str">
        <f t="shared" ref="G11:G42" si="4">MID(I11,3,LEN(I11)-3)</f>
        <v>56447.9116</v>
      </c>
      <c r="H11" s="27">
        <f t="shared" ref="H11:H42" si="5">1*K11</f>
        <v>722.5</v>
      </c>
      <c r="I11" s="48" t="s">
        <v>228</v>
      </c>
      <c r="J11" s="49" t="s">
        <v>229</v>
      </c>
      <c r="K11" s="48">
        <v>722.5</v>
      </c>
      <c r="L11" s="48" t="s">
        <v>230</v>
      </c>
      <c r="M11" s="49" t="s">
        <v>217</v>
      </c>
      <c r="N11" s="49" t="s">
        <v>231</v>
      </c>
      <c r="O11" s="50" t="s">
        <v>158</v>
      </c>
      <c r="P11" s="51" t="s">
        <v>227</v>
      </c>
    </row>
    <row r="12" spans="1:16" ht="12.75" customHeight="1" thickBot="1" x14ac:dyDescent="0.25">
      <c r="A12" s="27" t="str">
        <f t="shared" si="0"/>
        <v>IBVS 35 </v>
      </c>
      <c r="B12" s="5" t="str">
        <f t="shared" si="1"/>
        <v>I</v>
      </c>
      <c r="C12" s="27">
        <f t="shared" si="2"/>
        <v>38265.43</v>
      </c>
      <c r="D12" s="10" t="str">
        <f t="shared" si="3"/>
        <v>vis</v>
      </c>
      <c r="E12" s="47">
        <f>VLOOKUP(C12,Active!C$21:E$973,3,FALSE)</f>
        <v>1214.0045149814237</v>
      </c>
      <c r="F12" s="5" t="s">
        <v>52</v>
      </c>
      <c r="G12" s="10" t="str">
        <f t="shared" si="4"/>
        <v>38265.430</v>
      </c>
      <c r="H12" s="27">
        <f t="shared" si="5"/>
        <v>-3952</v>
      </c>
      <c r="I12" s="48" t="s">
        <v>149</v>
      </c>
      <c r="J12" s="49" t="s">
        <v>150</v>
      </c>
      <c r="K12" s="48">
        <v>-3952</v>
      </c>
      <c r="L12" s="48" t="s">
        <v>151</v>
      </c>
      <c r="M12" s="49" t="s">
        <v>79</v>
      </c>
      <c r="N12" s="49"/>
      <c r="O12" s="50" t="s">
        <v>80</v>
      </c>
      <c r="P12" s="51" t="s">
        <v>152</v>
      </c>
    </row>
    <row r="13" spans="1:16" ht="12.75" customHeight="1" thickBot="1" x14ac:dyDescent="0.25">
      <c r="A13" s="27" t="str">
        <f t="shared" si="0"/>
        <v>BAVM 90 </v>
      </c>
      <c r="B13" s="5" t="str">
        <f t="shared" si="1"/>
        <v>I</v>
      </c>
      <c r="C13" s="27">
        <f t="shared" si="2"/>
        <v>49938.460899999998</v>
      </c>
      <c r="D13" s="10" t="str">
        <f t="shared" si="3"/>
        <v>vis</v>
      </c>
      <c r="E13" s="47">
        <f>VLOOKUP(C13,Active!C$21:E$973,3,FALSE)</f>
        <v>4215.0019911474265</v>
      </c>
      <c r="F13" s="5" t="s">
        <v>52</v>
      </c>
      <c r="G13" s="10" t="str">
        <f t="shared" si="4"/>
        <v>49938.4609</v>
      </c>
      <c r="H13" s="27">
        <f t="shared" si="5"/>
        <v>-951</v>
      </c>
      <c r="I13" s="48" t="s">
        <v>193</v>
      </c>
      <c r="J13" s="49" t="s">
        <v>194</v>
      </c>
      <c r="K13" s="48">
        <v>-951</v>
      </c>
      <c r="L13" s="48" t="s">
        <v>195</v>
      </c>
      <c r="M13" s="49" t="s">
        <v>163</v>
      </c>
      <c r="N13" s="49" t="s">
        <v>196</v>
      </c>
      <c r="O13" s="50" t="s">
        <v>197</v>
      </c>
      <c r="P13" s="51" t="s">
        <v>198</v>
      </c>
    </row>
    <row r="14" spans="1:16" ht="12.75" customHeight="1" thickBot="1" x14ac:dyDescent="0.25">
      <c r="A14" s="27" t="str">
        <f t="shared" si="0"/>
        <v>IBVS 5945 </v>
      </c>
      <c r="B14" s="5" t="str">
        <f t="shared" si="1"/>
        <v>II</v>
      </c>
      <c r="C14" s="27">
        <f t="shared" si="2"/>
        <v>55358.779900000001</v>
      </c>
      <c r="D14" s="10" t="str">
        <f t="shared" si="3"/>
        <v>vis</v>
      </c>
      <c r="E14" s="47">
        <f>VLOOKUP(C14,Active!C$21:E$973,3,FALSE)</f>
        <v>5608.5015696514683</v>
      </c>
      <c r="F14" s="5" t="s">
        <v>52</v>
      </c>
      <c r="G14" s="10" t="str">
        <f t="shared" si="4"/>
        <v>55358.7799</v>
      </c>
      <c r="H14" s="27">
        <f t="shared" si="5"/>
        <v>442.5</v>
      </c>
      <c r="I14" s="48" t="s">
        <v>214</v>
      </c>
      <c r="J14" s="49" t="s">
        <v>215</v>
      </c>
      <c r="K14" s="48">
        <v>442.5</v>
      </c>
      <c r="L14" s="48" t="s">
        <v>216</v>
      </c>
      <c r="M14" s="49" t="s">
        <v>217</v>
      </c>
      <c r="N14" s="49" t="s">
        <v>52</v>
      </c>
      <c r="O14" s="50" t="s">
        <v>158</v>
      </c>
      <c r="P14" s="51" t="s">
        <v>218</v>
      </c>
    </row>
    <row r="15" spans="1:16" ht="12.75" customHeight="1" thickBot="1" x14ac:dyDescent="0.25">
      <c r="A15" s="27" t="str">
        <f t="shared" si="0"/>
        <v>OEJV 0160 </v>
      </c>
      <c r="B15" s="5" t="str">
        <f t="shared" si="1"/>
        <v>I</v>
      </c>
      <c r="C15" s="27">
        <f t="shared" si="2"/>
        <v>56111.447639999999</v>
      </c>
      <c r="D15" s="10" t="str">
        <f t="shared" si="3"/>
        <v>vis</v>
      </c>
      <c r="E15" s="47">
        <f>VLOOKUP(C15,Active!C$21:E$973,3,FALSE)</f>
        <v>5802.003497940852</v>
      </c>
      <c r="F15" s="5" t="s">
        <v>52</v>
      </c>
      <c r="G15" s="10" t="str">
        <f t="shared" si="4"/>
        <v>56111.44764</v>
      </c>
      <c r="H15" s="27">
        <f t="shared" si="5"/>
        <v>636</v>
      </c>
      <c r="I15" s="48" t="s">
        <v>219</v>
      </c>
      <c r="J15" s="49" t="s">
        <v>220</v>
      </c>
      <c r="K15" s="48">
        <v>636</v>
      </c>
      <c r="L15" s="48" t="s">
        <v>221</v>
      </c>
      <c r="M15" s="49" t="s">
        <v>217</v>
      </c>
      <c r="N15" s="49" t="s">
        <v>44</v>
      </c>
      <c r="O15" s="50" t="s">
        <v>222</v>
      </c>
      <c r="P15" s="51" t="s">
        <v>223</v>
      </c>
    </row>
    <row r="16" spans="1:16" ht="12.75" customHeight="1" thickBot="1" x14ac:dyDescent="0.25">
      <c r="A16" s="27" t="str">
        <f t="shared" si="0"/>
        <v>IBVS 6063 </v>
      </c>
      <c r="B16" s="5" t="str">
        <f t="shared" si="1"/>
        <v>II</v>
      </c>
      <c r="C16" s="27">
        <f t="shared" si="2"/>
        <v>56447.904900000001</v>
      </c>
      <c r="D16" s="10" t="str">
        <f t="shared" si="3"/>
        <v>vis</v>
      </c>
      <c r="E16" s="47">
        <f>VLOOKUP(C16,Active!C$21:E$973,3,FALSE)</f>
        <v>5888.5026597050628</v>
      </c>
      <c r="F16" s="5" t="s">
        <v>52</v>
      </c>
      <c r="G16" s="10" t="str">
        <f t="shared" si="4"/>
        <v>56447.9049</v>
      </c>
      <c r="H16" s="27">
        <f t="shared" si="5"/>
        <v>722.5</v>
      </c>
      <c r="I16" s="48" t="s">
        <v>224</v>
      </c>
      <c r="J16" s="49" t="s">
        <v>225</v>
      </c>
      <c r="K16" s="48">
        <v>722.5</v>
      </c>
      <c r="L16" s="48" t="s">
        <v>226</v>
      </c>
      <c r="M16" s="49" t="s">
        <v>217</v>
      </c>
      <c r="N16" s="49" t="s">
        <v>52</v>
      </c>
      <c r="O16" s="50" t="s">
        <v>158</v>
      </c>
      <c r="P16" s="51" t="s">
        <v>227</v>
      </c>
    </row>
    <row r="17" spans="1:16" ht="12.75" customHeight="1" thickBot="1" x14ac:dyDescent="0.25">
      <c r="A17" s="27" t="str">
        <f t="shared" si="0"/>
        <v>BAVM 234 </v>
      </c>
      <c r="B17" s="5" t="str">
        <f t="shared" si="1"/>
        <v>I</v>
      </c>
      <c r="C17" s="27">
        <f t="shared" si="2"/>
        <v>56500.417000000001</v>
      </c>
      <c r="D17" s="10" t="str">
        <f t="shared" si="3"/>
        <v>vis</v>
      </c>
      <c r="E17" s="47">
        <f>VLOOKUP(C17,Active!C$21:E$973,3,FALSE)</f>
        <v>5902.0028963546702</v>
      </c>
      <c r="F17" s="5" t="s">
        <v>52</v>
      </c>
      <c r="G17" s="10" t="str">
        <f t="shared" si="4"/>
        <v>56500.417</v>
      </c>
      <c r="H17" s="27">
        <f t="shared" si="5"/>
        <v>736</v>
      </c>
      <c r="I17" s="48" t="s">
        <v>232</v>
      </c>
      <c r="J17" s="49" t="s">
        <v>233</v>
      </c>
      <c r="K17" s="48">
        <v>736</v>
      </c>
      <c r="L17" s="48" t="s">
        <v>234</v>
      </c>
      <c r="M17" s="49" t="s">
        <v>217</v>
      </c>
      <c r="N17" s="49" t="s">
        <v>235</v>
      </c>
      <c r="O17" s="50" t="s">
        <v>236</v>
      </c>
      <c r="P17" s="51" t="s">
        <v>237</v>
      </c>
    </row>
    <row r="18" spans="1:16" ht="12.75" customHeight="1" thickBot="1" x14ac:dyDescent="0.25">
      <c r="A18" s="27" t="str">
        <f t="shared" si="0"/>
        <v>OEJV 0160 </v>
      </c>
      <c r="B18" s="5" t="str">
        <f t="shared" si="1"/>
        <v>I</v>
      </c>
      <c r="C18" s="27">
        <f t="shared" si="2"/>
        <v>56500.433799999999</v>
      </c>
      <c r="D18" s="10" t="str">
        <f t="shared" si="3"/>
        <v>vis</v>
      </c>
      <c r="E18" s="47">
        <f>VLOOKUP(C18,Active!C$21:E$973,3,FALSE)</f>
        <v>5902.0072154349518</v>
      </c>
      <c r="F18" s="5" t="s">
        <v>52</v>
      </c>
      <c r="G18" s="10" t="str">
        <f t="shared" si="4"/>
        <v>56500.4338</v>
      </c>
      <c r="H18" s="27">
        <f t="shared" si="5"/>
        <v>736</v>
      </c>
      <c r="I18" s="48" t="s">
        <v>238</v>
      </c>
      <c r="J18" s="49" t="s">
        <v>239</v>
      </c>
      <c r="K18" s="48" t="s">
        <v>240</v>
      </c>
      <c r="L18" s="48" t="s">
        <v>241</v>
      </c>
      <c r="M18" s="49" t="s">
        <v>217</v>
      </c>
      <c r="N18" s="49" t="s">
        <v>44</v>
      </c>
      <c r="O18" s="50" t="s">
        <v>222</v>
      </c>
      <c r="P18" s="51" t="s">
        <v>223</v>
      </c>
    </row>
    <row r="19" spans="1:16" ht="12.75" customHeight="1" thickBot="1" x14ac:dyDescent="0.25">
      <c r="A19" s="27" t="str">
        <f t="shared" si="0"/>
        <v> PZ 6.303 </v>
      </c>
      <c r="B19" s="5" t="str">
        <f t="shared" si="1"/>
        <v>I</v>
      </c>
      <c r="C19" s="27">
        <f t="shared" si="2"/>
        <v>18373.447</v>
      </c>
      <c r="D19" s="10" t="str">
        <f t="shared" si="3"/>
        <v>vis</v>
      </c>
      <c r="E19" s="47">
        <f>VLOOKUP(C19,Active!C$21:E$973,3,FALSE)</f>
        <v>-3899.9878397322996</v>
      </c>
      <c r="F19" s="5" t="s">
        <v>52</v>
      </c>
      <c r="G19" s="10" t="str">
        <f t="shared" si="4"/>
        <v>18373.447</v>
      </c>
      <c r="H19" s="27">
        <f t="shared" si="5"/>
        <v>-9066</v>
      </c>
      <c r="I19" s="48" t="s">
        <v>55</v>
      </c>
      <c r="J19" s="49" t="s">
        <v>56</v>
      </c>
      <c r="K19" s="48">
        <v>-9066</v>
      </c>
      <c r="L19" s="48" t="s">
        <v>57</v>
      </c>
      <c r="M19" s="49" t="s">
        <v>54</v>
      </c>
      <c r="N19" s="49"/>
      <c r="O19" s="50" t="s">
        <v>58</v>
      </c>
      <c r="P19" s="50" t="s">
        <v>59</v>
      </c>
    </row>
    <row r="20" spans="1:16" ht="12.75" customHeight="1" thickBot="1" x14ac:dyDescent="0.25">
      <c r="A20" s="27" t="str">
        <f t="shared" si="0"/>
        <v> VSS 1.261 </v>
      </c>
      <c r="B20" s="5" t="str">
        <f t="shared" si="1"/>
        <v>I</v>
      </c>
      <c r="C20" s="27">
        <f t="shared" si="2"/>
        <v>27685.439999999999</v>
      </c>
      <c r="D20" s="10" t="str">
        <f t="shared" si="3"/>
        <v>vis</v>
      </c>
      <c r="E20" s="47">
        <f>VLOOKUP(C20,Active!C$21:E$973,3,FALSE)</f>
        <v>-1505.9851397929472</v>
      </c>
      <c r="F20" s="5" t="s">
        <v>52</v>
      </c>
      <c r="G20" s="10" t="str">
        <f t="shared" si="4"/>
        <v>27685.44</v>
      </c>
      <c r="H20" s="27">
        <f t="shared" si="5"/>
        <v>-6672</v>
      </c>
      <c r="I20" s="48" t="s">
        <v>60</v>
      </c>
      <c r="J20" s="49" t="s">
        <v>61</v>
      </c>
      <c r="K20" s="48">
        <v>-6672</v>
      </c>
      <c r="L20" s="48" t="s">
        <v>62</v>
      </c>
      <c r="M20" s="49" t="s">
        <v>63</v>
      </c>
      <c r="N20" s="49"/>
      <c r="O20" s="50" t="s">
        <v>64</v>
      </c>
      <c r="P20" s="50" t="s">
        <v>65</v>
      </c>
    </row>
    <row r="21" spans="1:16" ht="12.75" customHeight="1" thickBot="1" x14ac:dyDescent="0.25">
      <c r="A21" s="27" t="str">
        <f t="shared" si="0"/>
        <v> VSS 1.261 </v>
      </c>
      <c r="B21" s="5" t="str">
        <f t="shared" si="1"/>
        <v>I</v>
      </c>
      <c r="C21" s="27">
        <f t="shared" si="2"/>
        <v>27926.54</v>
      </c>
      <c r="D21" s="10" t="str">
        <f t="shared" si="3"/>
        <v>vis</v>
      </c>
      <c r="E21" s="47">
        <f>VLOOKUP(C21,Active!C$21:E$973,3,FALSE)</f>
        <v>-1444.0011959738977</v>
      </c>
      <c r="F21" s="5" t="s">
        <v>52</v>
      </c>
      <c r="G21" s="10" t="str">
        <f t="shared" si="4"/>
        <v>27926.54</v>
      </c>
      <c r="H21" s="27">
        <f t="shared" si="5"/>
        <v>-6610</v>
      </c>
      <c r="I21" s="48" t="s">
        <v>66</v>
      </c>
      <c r="J21" s="49" t="s">
        <v>67</v>
      </c>
      <c r="K21" s="48">
        <v>-6610</v>
      </c>
      <c r="L21" s="48" t="s">
        <v>68</v>
      </c>
      <c r="M21" s="49" t="s">
        <v>63</v>
      </c>
      <c r="N21" s="49"/>
      <c r="O21" s="50" t="s">
        <v>64</v>
      </c>
      <c r="P21" s="50" t="s">
        <v>65</v>
      </c>
    </row>
    <row r="22" spans="1:16" ht="12.75" customHeight="1" thickBot="1" x14ac:dyDescent="0.25">
      <c r="A22" s="27" t="str">
        <f t="shared" si="0"/>
        <v> VSS 1.262 </v>
      </c>
      <c r="B22" s="5" t="str">
        <f t="shared" si="1"/>
        <v>I</v>
      </c>
      <c r="C22" s="27">
        <f t="shared" si="2"/>
        <v>28424.34</v>
      </c>
      <c r="D22" s="10" t="str">
        <f t="shared" si="3"/>
        <v>vis</v>
      </c>
      <c r="E22" s="47">
        <f>VLOOKUP(C22,Active!C$21:E$973,3,FALSE)</f>
        <v>-1316.0227337875742</v>
      </c>
      <c r="F22" s="5" t="s">
        <v>52</v>
      </c>
      <c r="G22" s="10" t="str">
        <f t="shared" si="4"/>
        <v>28424.34</v>
      </c>
      <c r="H22" s="27">
        <f t="shared" si="5"/>
        <v>-6482</v>
      </c>
      <c r="I22" s="48" t="s">
        <v>69</v>
      </c>
      <c r="J22" s="49" t="s">
        <v>70</v>
      </c>
      <c r="K22" s="48">
        <v>-6482</v>
      </c>
      <c r="L22" s="48" t="s">
        <v>71</v>
      </c>
      <c r="M22" s="49" t="s">
        <v>63</v>
      </c>
      <c r="N22" s="49"/>
      <c r="O22" s="50" t="s">
        <v>64</v>
      </c>
      <c r="P22" s="50" t="s">
        <v>72</v>
      </c>
    </row>
    <row r="23" spans="1:16" ht="12.75" customHeight="1" thickBot="1" x14ac:dyDescent="0.25">
      <c r="A23" s="27" t="str">
        <f t="shared" si="0"/>
        <v> VSS 1.262 </v>
      </c>
      <c r="B23" s="5" t="str">
        <f t="shared" si="1"/>
        <v>I</v>
      </c>
      <c r="C23" s="27">
        <f t="shared" si="2"/>
        <v>28428.39</v>
      </c>
      <c r="D23" s="10" t="str">
        <f t="shared" si="3"/>
        <v>vis</v>
      </c>
      <c r="E23" s="47">
        <f>VLOOKUP(C23,Active!C$21:E$973,3,FALSE)</f>
        <v>-1314.9815269337082</v>
      </c>
      <c r="F23" s="5" t="s">
        <v>52</v>
      </c>
      <c r="G23" s="10" t="str">
        <f t="shared" si="4"/>
        <v>28428.39</v>
      </c>
      <c r="H23" s="27">
        <f t="shared" si="5"/>
        <v>-6481</v>
      </c>
      <c r="I23" s="48" t="s">
        <v>73</v>
      </c>
      <c r="J23" s="49" t="s">
        <v>74</v>
      </c>
      <c r="K23" s="48">
        <v>-6481</v>
      </c>
      <c r="L23" s="48" t="s">
        <v>75</v>
      </c>
      <c r="M23" s="49" t="s">
        <v>63</v>
      </c>
      <c r="N23" s="49"/>
      <c r="O23" s="50" t="s">
        <v>64</v>
      </c>
      <c r="P23" s="50" t="s">
        <v>72</v>
      </c>
    </row>
    <row r="24" spans="1:16" ht="12.75" customHeight="1" thickBot="1" x14ac:dyDescent="0.25">
      <c r="A24" s="27" t="str">
        <f t="shared" si="0"/>
        <v> COVS </v>
      </c>
      <c r="B24" s="5" t="str">
        <f t="shared" si="1"/>
        <v>I</v>
      </c>
      <c r="C24" s="27">
        <f t="shared" si="2"/>
        <v>28782.277999999998</v>
      </c>
      <c r="D24" s="10" t="str">
        <f t="shared" si="3"/>
        <v>vis</v>
      </c>
      <c r="E24" s="47">
        <f>VLOOKUP(C24,Active!C$21:E$973,3,FALSE)</f>
        <v>-1224.0011291309891</v>
      </c>
      <c r="F24" s="5" t="s">
        <v>52</v>
      </c>
      <c r="G24" s="10" t="str">
        <f t="shared" si="4"/>
        <v>28782.278</v>
      </c>
      <c r="H24" s="27">
        <f t="shared" si="5"/>
        <v>-6390</v>
      </c>
      <c r="I24" s="48" t="s">
        <v>76</v>
      </c>
      <c r="J24" s="49" t="s">
        <v>77</v>
      </c>
      <c r="K24" s="48">
        <v>-6390</v>
      </c>
      <c r="L24" s="48" t="s">
        <v>78</v>
      </c>
      <c r="M24" s="49" t="s">
        <v>79</v>
      </c>
      <c r="N24" s="49"/>
      <c r="O24" s="50" t="s">
        <v>80</v>
      </c>
      <c r="P24" s="50" t="s">
        <v>81</v>
      </c>
    </row>
    <row r="25" spans="1:16" ht="12.75" customHeight="1" thickBot="1" x14ac:dyDescent="0.25">
      <c r="A25" s="27" t="str">
        <f t="shared" si="0"/>
        <v> PZ 6.303 </v>
      </c>
      <c r="B25" s="5" t="str">
        <f t="shared" si="1"/>
        <v>I</v>
      </c>
      <c r="C25" s="27">
        <f t="shared" si="2"/>
        <v>29046.786</v>
      </c>
      <c r="D25" s="10" t="str">
        <f t="shared" si="3"/>
        <v>vis</v>
      </c>
      <c r="E25" s="47">
        <f>VLOOKUP(C25,Active!C$21:E$973,3,FALSE)</f>
        <v>-1155.9992667847048</v>
      </c>
      <c r="F25" s="5" t="s">
        <v>52</v>
      </c>
      <c r="G25" s="10" t="str">
        <f t="shared" si="4"/>
        <v>29046.786</v>
      </c>
      <c r="H25" s="27">
        <f t="shared" si="5"/>
        <v>-6322</v>
      </c>
      <c r="I25" s="48" t="s">
        <v>82</v>
      </c>
      <c r="J25" s="49" t="s">
        <v>83</v>
      </c>
      <c r="K25" s="48">
        <v>-6322</v>
      </c>
      <c r="L25" s="48" t="s">
        <v>84</v>
      </c>
      <c r="M25" s="49" t="s">
        <v>54</v>
      </c>
      <c r="N25" s="49"/>
      <c r="O25" s="50" t="s">
        <v>58</v>
      </c>
      <c r="P25" s="50" t="s">
        <v>59</v>
      </c>
    </row>
    <row r="26" spans="1:16" ht="12.75" customHeight="1" thickBot="1" x14ac:dyDescent="0.25">
      <c r="A26" s="27" t="str">
        <f t="shared" si="0"/>
        <v> VSS 1.262 </v>
      </c>
      <c r="B26" s="5" t="str">
        <f t="shared" si="1"/>
        <v>I</v>
      </c>
      <c r="C26" s="27">
        <f t="shared" si="2"/>
        <v>29167.32</v>
      </c>
      <c r="D26" s="10" t="str">
        <f t="shared" si="3"/>
        <v>vis</v>
      </c>
      <c r="E26" s="47">
        <f>VLOOKUP(C26,Active!C$21:E$973,3,FALSE)</f>
        <v>-1125.0114082849734</v>
      </c>
      <c r="F26" s="5" t="s">
        <v>52</v>
      </c>
      <c r="G26" s="10" t="str">
        <f t="shared" si="4"/>
        <v>29167.32</v>
      </c>
      <c r="H26" s="27">
        <f t="shared" si="5"/>
        <v>-6291</v>
      </c>
      <c r="I26" s="48" t="s">
        <v>85</v>
      </c>
      <c r="J26" s="49" t="s">
        <v>86</v>
      </c>
      <c r="K26" s="48">
        <v>-6291</v>
      </c>
      <c r="L26" s="48" t="s">
        <v>87</v>
      </c>
      <c r="M26" s="49" t="s">
        <v>63</v>
      </c>
      <c r="N26" s="49"/>
      <c r="O26" s="50" t="s">
        <v>64</v>
      </c>
      <c r="P26" s="50" t="s">
        <v>72</v>
      </c>
    </row>
    <row r="27" spans="1:16" ht="12.75" customHeight="1" thickBot="1" x14ac:dyDescent="0.25">
      <c r="A27" s="27" t="str">
        <f t="shared" si="0"/>
        <v> VSS 1.262 </v>
      </c>
      <c r="B27" s="5" t="str">
        <f t="shared" si="1"/>
        <v>I</v>
      </c>
      <c r="C27" s="27">
        <f t="shared" si="2"/>
        <v>29727.599999999999</v>
      </c>
      <c r="D27" s="10" t="str">
        <f t="shared" si="3"/>
        <v>vis</v>
      </c>
      <c r="E27" s="47">
        <f>VLOOKUP(C27,Active!C$21:E$973,3,FALSE)</f>
        <v>-980.97008085678306</v>
      </c>
      <c r="F27" s="5" t="s">
        <v>52</v>
      </c>
      <c r="G27" s="10" t="str">
        <f t="shared" si="4"/>
        <v>29727.60</v>
      </c>
      <c r="H27" s="27">
        <f t="shared" si="5"/>
        <v>-6147</v>
      </c>
      <c r="I27" s="48" t="s">
        <v>88</v>
      </c>
      <c r="J27" s="49" t="s">
        <v>89</v>
      </c>
      <c r="K27" s="48">
        <v>-6147</v>
      </c>
      <c r="L27" s="48" t="s">
        <v>90</v>
      </c>
      <c r="M27" s="49" t="s">
        <v>63</v>
      </c>
      <c r="N27" s="49"/>
      <c r="O27" s="50" t="s">
        <v>64</v>
      </c>
      <c r="P27" s="50" t="s">
        <v>72</v>
      </c>
    </row>
    <row r="28" spans="1:16" ht="12.75" customHeight="1" thickBot="1" x14ac:dyDescent="0.25">
      <c r="A28" s="27" t="str">
        <f t="shared" si="0"/>
        <v> VSS 1.262 </v>
      </c>
      <c r="B28" s="5" t="str">
        <f t="shared" si="1"/>
        <v>I</v>
      </c>
      <c r="C28" s="27">
        <f t="shared" si="2"/>
        <v>29906.31</v>
      </c>
      <c r="D28" s="10" t="str">
        <f t="shared" si="3"/>
        <v>vis</v>
      </c>
      <c r="E28" s="47">
        <f>VLOOKUP(C28,Active!C$21:E$973,3,FALSE)</f>
        <v>-935.02586434951456</v>
      </c>
      <c r="F28" s="5" t="s">
        <v>52</v>
      </c>
      <c r="G28" s="10" t="str">
        <f t="shared" si="4"/>
        <v>29906.31</v>
      </c>
      <c r="H28" s="27">
        <f t="shared" si="5"/>
        <v>-6101</v>
      </c>
      <c r="I28" s="48" t="s">
        <v>91</v>
      </c>
      <c r="J28" s="49" t="s">
        <v>92</v>
      </c>
      <c r="K28" s="48">
        <v>-6101</v>
      </c>
      <c r="L28" s="48" t="s">
        <v>93</v>
      </c>
      <c r="M28" s="49" t="s">
        <v>63</v>
      </c>
      <c r="N28" s="49"/>
      <c r="O28" s="50" t="s">
        <v>64</v>
      </c>
      <c r="P28" s="50" t="s">
        <v>72</v>
      </c>
    </row>
    <row r="29" spans="1:16" ht="12.75" customHeight="1" thickBot="1" x14ac:dyDescent="0.25">
      <c r="A29" s="27" t="str">
        <f t="shared" si="0"/>
        <v> VSS 1.262 </v>
      </c>
      <c r="B29" s="5" t="str">
        <f t="shared" si="1"/>
        <v>I</v>
      </c>
      <c r="C29" s="27">
        <f t="shared" si="2"/>
        <v>30260.32</v>
      </c>
      <c r="D29" s="10" t="str">
        <f t="shared" si="3"/>
        <v>vis</v>
      </c>
      <c r="E29" s="47">
        <f>VLOOKUP(C29,Active!C$21:E$973,3,FALSE)</f>
        <v>-844.01410179712366</v>
      </c>
      <c r="F29" s="5" t="s">
        <v>52</v>
      </c>
      <c r="G29" s="10" t="str">
        <f t="shared" si="4"/>
        <v>30260.32</v>
      </c>
      <c r="H29" s="27">
        <f t="shared" si="5"/>
        <v>-6010</v>
      </c>
      <c r="I29" s="48" t="s">
        <v>94</v>
      </c>
      <c r="J29" s="49" t="s">
        <v>95</v>
      </c>
      <c r="K29" s="48">
        <v>-6010</v>
      </c>
      <c r="L29" s="48" t="s">
        <v>96</v>
      </c>
      <c r="M29" s="49" t="s">
        <v>63</v>
      </c>
      <c r="N29" s="49"/>
      <c r="O29" s="50" t="s">
        <v>64</v>
      </c>
      <c r="P29" s="50" t="s">
        <v>72</v>
      </c>
    </row>
    <row r="30" spans="1:16" ht="12.75" customHeight="1" thickBot="1" x14ac:dyDescent="0.25">
      <c r="A30" s="27" t="str">
        <f t="shared" si="0"/>
        <v> VSS 1.262 </v>
      </c>
      <c r="B30" s="5" t="str">
        <f t="shared" si="1"/>
        <v>I</v>
      </c>
      <c r="C30" s="27">
        <f t="shared" si="2"/>
        <v>30614.35</v>
      </c>
      <c r="D30" s="10" t="str">
        <f t="shared" si="3"/>
        <v>vis</v>
      </c>
      <c r="E30" s="47">
        <f>VLOOKUP(C30,Active!C$21:E$973,3,FALSE)</f>
        <v>-752.99719748249129</v>
      </c>
      <c r="F30" s="5" t="s">
        <v>52</v>
      </c>
      <c r="G30" s="10" t="str">
        <f t="shared" si="4"/>
        <v>30614.35</v>
      </c>
      <c r="H30" s="27">
        <f t="shared" si="5"/>
        <v>-5919</v>
      </c>
      <c r="I30" s="48" t="s">
        <v>97</v>
      </c>
      <c r="J30" s="49" t="s">
        <v>98</v>
      </c>
      <c r="K30" s="48">
        <v>-5919</v>
      </c>
      <c r="L30" s="48" t="s">
        <v>99</v>
      </c>
      <c r="M30" s="49" t="s">
        <v>63</v>
      </c>
      <c r="N30" s="49"/>
      <c r="O30" s="50" t="s">
        <v>64</v>
      </c>
      <c r="P30" s="50" t="s">
        <v>72</v>
      </c>
    </row>
    <row r="31" spans="1:16" ht="12.75" customHeight="1" thickBot="1" x14ac:dyDescent="0.25">
      <c r="A31" s="27" t="str">
        <f t="shared" si="0"/>
        <v> IODE 4.1.91 </v>
      </c>
      <c r="B31" s="5" t="str">
        <f t="shared" si="1"/>
        <v>I</v>
      </c>
      <c r="C31" s="27">
        <f t="shared" si="2"/>
        <v>31326.170999999998</v>
      </c>
      <c r="D31" s="10" t="str">
        <f t="shared" si="3"/>
        <v>vis</v>
      </c>
      <c r="E31" s="47">
        <f>VLOOKUP(C31,Active!C$21:E$973,3,FALSE)</f>
        <v>-569.99648046374671</v>
      </c>
      <c r="F31" s="5" t="s">
        <v>52</v>
      </c>
      <c r="G31" s="10" t="str">
        <f t="shared" si="4"/>
        <v>31326.171</v>
      </c>
      <c r="H31" s="27">
        <f t="shared" si="5"/>
        <v>-5736</v>
      </c>
      <c r="I31" s="48" t="s">
        <v>100</v>
      </c>
      <c r="J31" s="49" t="s">
        <v>101</v>
      </c>
      <c r="K31" s="48">
        <v>-5736</v>
      </c>
      <c r="L31" s="48" t="s">
        <v>102</v>
      </c>
      <c r="M31" s="49" t="s">
        <v>79</v>
      </c>
      <c r="N31" s="49"/>
      <c r="O31" s="50" t="s">
        <v>103</v>
      </c>
      <c r="P31" s="50" t="s">
        <v>104</v>
      </c>
    </row>
    <row r="32" spans="1:16" ht="12.75" customHeight="1" thickBot="1" x14ac:dyDescent="0.25">
      <c r="A32" s="27" t="str">
        <f t="shared" si="0"/>
        <v> COVS </v>
      </c>
      <c r="B32" s="5" t="str">
        <f t="shared" si="1"/>
        <v>I</v>
      </c>
      <c r="C32" s="27">
        <f t="shared" si="2"/>
        <v>33282.671000000002</v>
      </c>
      <c r="D32" s="10" t="str">
        <f t="shared" si="3"/>
        <v>vis</v>
      </c>
      <c r="E32" s="47">
        <f>VLOOKUP(C32,Active!C$21:E$973,3,FALSE)</f>
        <v>-67.003589207132549</v>
      </c>
      <c r="F32" s="5" t="s">
        <v>52</v>
      </c>
      <c r="G32" s="10" t="str">
        <f t="shared" si="4"/>
        <v>33282.671</v>
      </c>
      <c r="H32" s="27">
        <f t="shared" si="5"/>
        <v>-5233</v>
      </c>
      <c r="I32" s="48" t="s">
        <v>105</v>
      </c>
      <c r="J32" s="49" t="s">
        <v>106</v>
      </c>
      <c r="K32" s="48">
        <v>-5233</v>
      </c>
      <c r="L32" s="48" t="s">
        <v>107</v>
      </c>
      <c r="M32" s="49" t="s">
        <v>79</v>
      </c>
      <c r="N32" s="49"/>
      <c r="O32" s="50" t="s">
        <v>80</v>
      </c>
      <c r="P32" s="50" t="s">
        <v>81</v>
      </c>
    </row>
    <row r="33" spans="1:16" ht="12.75" customHeight="1" thickBot="1" x14ac:dyDescent="0.25">
      <c r="A33" s="27" t="str">
        <f t="shared" si="0"/>
        <v> TAOT 58.49 </v>
      </c>
      <c r="B33" s="5" t="str">
        <f t="shared" si="1"/>
        <v>I</v>
      </c>
      <c r="C33" s="27">
        <f t="shared" si="2"/>
        <v>34496.266000000003</v>
      </c>
      <c r="D33" s="10" t="str">
        <f t="shared" si="3"/>
        <v>vis</v>
      </c>
      <c r="E33" s="47">
        <f>VLOOKUP(C33,Active!C$21:E$973,3,FALSE)</f>
        <v>244.99725815528512</v>
      </c>
      <c r="F33" s="5" t="s">
        <v>52</v>
      </c>
      <c r="G33" s="10" t="str">
        <f t="shared" si="4"/>
        <v>34496.266</v>
      </c>
      <c r="H33" s="27">
        <f t="shared" si="5"/>
        <v>-4921</v>
      </c>
      <c r="I33" s="48" t="s">
        <v>108</v>
      </c>
      <c r="J33" s="49" t="s">
        <v>109</v>
      </c>
      <c r="K33" s="48">
        <v>-4921</v>
      </c>
      <c r="L33" s="48" t="s">
        <v>110</v>
      </c>
      <c r="M33" s="49" t="s">
        <v>54</v>
      </c>
      <c r="N33" s="49"/>
      <c r="O33" s="50" t="s">
        <v>111</v>
      </c>
      <c r="P33" s="50" t="s">
        <v>112</v>
      </c>
    </row>
    <row r="34" spans="1:16" ht="12.75" customHeight="1" thickBot="1" x14ac:dyDescent="0.25">
      <c r="A34" s="27" t="str">
        <f t="shared" si="0"/>
        <v> TAOT 58.49 </v>
      </c>
      <c r="B34" s="5" t="str">
        <f t="shared" si="1"/>
        <v>II</v>
      </c>
      <c r="C34" s="27">
        <f t="shared" si="2"/>
        <v>35431.745999999999</v>
      </c>
      <c r="D34" s="10" t="str">
        <f t="shared" si="3"/>
        <v>vis</v>
      </c>
      <c r="E34" s="47">
        <f>VLOOKUP(C34,Active!C$21:E$973,3,FALSE)</f>
        <v>485.49804523053916</v>
      </c>
      <c r="F34" s="5" t="s">
        <v>52</v>
      </c>
      <c r="G34" s="10" t="str">
        <f t="shared" si="4"/>
        <v>35431.746</v>
      </c>
      <c r="H34" s="27">
        <f t="shared" si="5"/>
        <v>-4680.5</v>
      </c>
      <c r="I34" s="48" t="s">
        <v>113</v>
      </c>
      <c r="J34" s="49" t="s">
        <v>114</v>
      </c>
      <c r="K34" s="48">
        <v>-4680.5</v>
      </c>
      <c r="L34" s="48" t="s">
        <v>115</v>
      </c>
      <c r="M34" s="49" t="s">
        <v>54</v>
      </c>
      <c r="N34" s="49"/>
      <c r="O34" s="50" t="s">
        <v>111</v>
      </c>
      <c r="P34" s="50" t="s">
        <v>112</v>
      </c>
    </row>
    <row r="35" spans="1:16" ht="12.75" customHeight="1" thickBot="1" x14ac:dyDescent="0.25">
      <c r="A35" s="27" t="str">
        <f t="shared" si="0"/>
        <v> TAOT 58.49 </v>
      </c>
      <c r="B35" s="5" t="str">
        <f t="shared" si="1"/>
        <v>I</v>
      </c>
      <c r="C35" s="27">
        <f t="shared" si="2"/>
        <v>35460.919000000002</v>
      </c>
      <c r="D35" s="10" t="str">
        <f t="shared" si="3"/>
        <v>vis</v>
      </c>
      <c r="E35" s="47">
        <f>VLOOKUP(C35,Active!C$21:E$973,3,FALSE)</f>
        <v>492.99807672383349</v>
      </c>
      <c r="F35" s="5" t="s">
        <v>52</v>
      </c>
      <c r="G35" s="10" t="str">
        <f t="shared" si="4"/>
        <v>35460.919</v>
      </c>
      <c r="H35" s="27">
        <f t="shared" si="5"/>
        <v>-4673</v>
      </c>
      <c r="I35" s="48" t="s">
        <v>116</v>
      </c>
      <c r="J35" s="49" t="s">
        <v>117</v>
      </c>
      <c r="K35" s="48">
        <v>-4673</v>
      </c>
      <c r="L35" s="48" t="s">
        <v>115</v>
      </c>
      <c r="M35" s="49" t="s">
        <v>54</v>
      </c>
      <c r="N35" s="49"/>
      <c r="O35" s="50" t="s">
        <v>111</v>
      </c>
      <c r="P35" s="50" t="s">
        <v>112</v>
      </c>
    </row>
    <row r="36" spans="1:16" ht="12.75" customHeight="1" thickBot="1" x14ac:dyDescent="0.25">
      <c r="A36" s="27" t="str">
        <f t="shared" si="0"/>
        <v> MVS 3.120 </v>
      </c>
      <c r="B36" s="5" t="str">
        <f t="shared" si="1"/>
        <v>I</v>
      </c>
      <c r="C36" s="27">
        <f t="shared" si="2"/>
        <v>35725.423999999999</v>
      </c>
      <c r="D36" s="10" t="str">
        <f t="shared" si="3"/>
        <v>vis</v>
      </c>
      <c r="E36" s="47">
        <f>VLOOKUP(C36,Active!C$21:E$973,3,FALSE)</f>
        <v>560.99916780578042</v>
      </c>
      <c r="F36" s="5" t="s">
        <v>52</v>
      </c>
      <c r="G36" s="10" t="str">
        <f t="shared" si="4"/>
        <v>35725.424</v>
      </c>
      <c r="H36" s="27">
        <f t="shared" si="5"/>
        <v>-4605</v>
      </c>
      <c r="I36" s="48" t="s">
        <v>118</v>
      </c>
      <c r="J36" s="49" t="s">
        <v>119</v>
      </c>
      <c r="K36" s="48">
        <v>-4605</v>
      </c>
      <c r="L36" s="48" t="s">
        <v>120</v>
      </c>
      <c r="M36" s="49" t="s">
        <v>63</v>
      </c>
      <c r="N36" s="49"/>
      <c r="O36" s="50" t="s">
        <v>121</v>
      </c>
      <c r="P36" s="50" t="s">
        <v>122</v>
      </c>
    </row>
    <row r="37" spans="1:16" ht="12.75" customHeight="1" thickBot="1" x14ac:dyDescent="0.25">
      <c r="A37" s="27" t="str">
        <f t="shared" si="0"/>
        <v> TAOT 58.49 </v>
      </c>
      <c r="B37" s="5" t="str">
        <f t="shared" si="1"/>
        <v>I</v>
      </c>
      <c r="C37" s="27">
        <f t="shared" si="2"/>
        <v>35814.892</v>
      </c>
      <c r="D37" s="10" t="str">
        <f t="shared" si="3"/>
        <v>vis</v>
      </c>
      <c r="E37" s="47">
        <f>VLOOKUP(C37,Active!C$21:E$973,3,FALSE)</f>
        <v>584.0003270160779</v>
      </c>
      <c r="F37" s="5" t="s">
        <v>52</v>
      </c>
      <c r="G37" s="10" t="str">
        <f t="shared" si="4"/>
        <v>35814.892</v>
      </c>
      <c r="H37" s="27">
        <f t="shared" si="5"/>
        <v>-4582</v>
      </c>
      <c r="I37" s="48" t="s">
        <v>123</v>
      </c>
      <c r="J37" s="49" t="s">
        <v>124</v>
      </c>
      <c r="K37" s="48">
        <v>-4582</v>
      </c>
      <c r="L37" s="48" t="s">
        <v>125</v>
      </c>
      <c r="M37" s="49" t="s">
        <v>54</v>
      </c>
      <c r="N37" s="49"/>
      <c r="O37" s="50" t="s">
        <v>111</v>
      </c>
      <c r="P37" s="50" t="s">
        <v>112</v>
      </c>
    </row>
    <row r="38" spans="1:16" ht="12.75" customHeight="1" thickBot="1" x14ac:dyDescent="0.25">
      <c r="A38" s="27" t="str">
        <f t="shared" si="0"/>
        <v> TAOT 58.49 </v>
      </c>
      <c r="B38" s="5" t="str">
        <f t="shared" si="1"/>
        <v>I</v>
      </c>
      <c r="C38" s="27">
        <f t="shared" si="2"/>
        <v>36332.211000000003</v>
      </c>
      <c r="D38" s="10" t="str">
        <f t="shared" si="3"/>
        <v>vis</v>
      </c>
      <c r="E38" s="47">
        <f>VLOOKUP(C38,Active!C$21:E$973,3,FALSE)</f>
        <v>716.99689206181347</v>
      </c>
      <c r="F38" s="5" t="s">
        <v>52</v>
      </c>
      <c r="G38" s="10" t="str">
        <f t="shared" si="4"/>
        <v>36332.211</v>
      </c>
      <c r="H38" s="27">
        <f t="shared" si="5"/>
        <v>-4449</v>
      </c>
      <c r="I38" s="48" t="s">
        <v>126</v>
      </c>
      <c r="J38" s="49" t="s">
        <v>127</v>
      </c>
      <c r="K38" s="48">
        <v>-4449</v>
      </c>
      <c r="L38" s="48" t="s">
        <v>128</v>
      </c>
      <c r="M38" s="49" t="s">
        <v>54</v>
      </c>
      <c r="N38" s="49"/>
      <c r="O38" s="50" t="s">
        <v>111</v>
      </c>
      <c r="P38" s="50" t="s">
        <v>112</v>
      </c>
    </row>
    <row r="39" spans="1:16" ht="12.75" customHeight="1" thickBot="1" x14ac:dyDescent="0.25">
      <c r="A39" s="27" t="str">
        <f t="shared" si="0"/>
        <v> MVS 3.120 </v>
      </c>
      <c r="B39" s="5" t="str">
        <f t="shared" si="1"/>
        <v>I</v>
      </c>
      <c r="C39" s="27">
        <f t="shared" si="2"/>
        <v>36394.493999999999</v>
      </c>
      <c r="D39" s="10" t="str">
        <f t="shared" si="3"/>
        <v>vis</v>
      </c>
      <c r="E39" s="47">
        <f>VLOOKUP(C39,Active!C$21:E$973,3,FALSE)</f>
        <v>733.00911094560263</v>
      </c>
      <c r="F39" s="5" t="s">
        <v>52</v>
      </c>
      <c r="G39" s="10" t="str">
        <f t="shared" si="4"/>
        <v>36394.494</v>
      </c>
      <c r="H39" s="27">
        <f t="shared" si="5"/>
        <v>-4433</v>
      </c>
      <c r="I39" s="48" t="s">
        <v>129</v>
      </c>
      <c r="J39" s="49" t="s">
        <v>130</v>
      </c>
      <c r="K39" s="48">
        <v>-4433</v>
      </c>
      <c r="L39" s="48" t="s">
        <v>131</v>
      </c>
      <c r="M39" s="49" t="s">
        <v>63</v>
      </c>
      <c r="N39" s="49"/>
      <c r="O39" s="50" t="s">
        <v>121</v>
      </c>
      <c r="P39" s="50" t="s">
        <v>122</v>
      </c>
    </row>
    <row r="40" spans="1:16" ht="12.75" customHeight="1" thickBot="1" x14ac:dyDescent="0.25">
      <c r="A40" s="27" t="str">
        <f t="shared" si="0"/>
        <v> MVS 3.120 </v>
      </c>
      <c r="B40" s="5" t="str">
        <f t="shared" si="1"/>
        <v>II</v>
      </c>
      <c r="C40" s="27">
        <f t="shared" si="2"/>
        <v>36816.427000000003</v>
      </c>
      <c r="D40" s="10" t="str">
        <f t="shared" si="3"/>
        <v>vis</v>
      </c>
      <c r="E40" s="47">
        <f>VLOOKUP(C40,Active!C$21:E$973,3,FALSE)</f>
        <v>841.48306933383617</v>
      </c>
      <c r="F40" s="5" t="s">
        <v>52</v>
      </c>
      <c r="G40" s="10" t="str">
        <f t="shared" si="4"/>
        <v>36816.427</v>
      </c>
      <c r="H40" s="27">
        <f t="shared" si="5"/>
        <v>-4324.5</v>
      </c>
      <c r="I40" s="48" t="s">
        <v>132</v>
      </c>
      <c r="J40" s="49" t="s">
        <v>133</v>
      </c>
      <c r="K40" s="48">
        <v>-4324.5</v>
      </c>
      <c r="L40" s="48" t="s">
        <v>134</v>
      </c>
      <c r="M40" s="49" t="s">
        <v>63</v>
      </c>
      <c r="N40" s="49"/>
      <c r="O40" s="50" t="s">
        <v>121</v>
      </c>
      <c r="P40" s="50" t="s">
        <v>122</v>
      </c>
    </row>
    <row r="41" spans="1:16" ht="12.75" customHeight="1" thickBot="1" x14ac:dyDescent="0.25">
      <c r="A41" s="27" t="str">
        <f t="shared" si="0"/>
        <v> HABZ 7 </v>
      </c>
      <c r="B41" s="5" t="str">
        <f t="shared" si="1"/>
        <v>I</v>
      </c>
      <c r="C41" s="27">
        <f t="shared" si="2"/>
        <v>36818.338000000003</v>
      </c>
      <c r="D41" s="10" t="str">
        <f t="shared" si="3"/>
        <v>vis</v>
      </c>
      <c r="E41" s="47">
        <f>VLOOKUP(C41,Active!C$21:E$973,3,FALSE)</f>
        <v>841.97436471599383</v>
      </c>
      <c r="F41" s="5" t="s">
        <v>52</v>
      </c>
      <c r="G41" s="10" t="str">
        <f t="shared" si="4"/>
        <v>36818.338</v>
      </c>
      <c r="H41" s="27">
        <f t="shared" si="5"/>
        <v>-4324</v>
      </c>
      <c r="I41" s="48" t="s">
        <v>135</v>
      </c>
      <c r="J41" s="49" t="s">
        <v>136</v>
      </c>
      <c r="K41" s="48">
        <v>-4324</v>
      </c>
      <c r="L41" s="48" t="s">
        <v>137</v>
      </c>
      <c r="M41" s="49" t="s">
        <v>63</v>
      </c>
      <c r="N41" s="49"/>
      <c r="O41" s="50" t="s">
        <v>138</v>
      </c>
      <c r="P41" s="50" t="s">
        <v>139</v>
      </c>
    </row>
    <row r="42" spans="1:16" ht="12.75" customHeight="1" thickBot="1" x14ac:dyDescent="0.25">
      <c r="A42" s="27" t="str">
        <f t="shared" si="0"/>
        <v> HABZ 7 </v>
      </c>
      <c r="B42" s="5" t="str">
        <f t="shared" si="1"/>
        <v>I</v>
      </c>
      <c r="C42" s="27">
        <f t="shared" si="2"/>
        <v>36818.374000000003</v>
      </c>
      <c r="D42" s="10" t="str">
        <f t="shared" si="3"/>
        <v>vis</v>
      </c>
      <c r="E42" s="47">
        <f>VLOOKUP(C42,Active!C$21:E$973,3,FALSE)</f>
        <v>841.98361988802822</v>
      </c>
      <c r="F42" s="5" t="s">
        <v>52</v>
      </c>
      <c r="G42" s="10" t="str">
        <f t="shared" si="4"/>
        <v>36818.374</v>
      </c>
      <c r="H42" s="27">
        <f t="shared" si="5"/>
        <v>-4324</v>
      </c>
      <c r="I42" s="48" t="s">
        <v>140</v>
      </c>
      <c r="J42" s="49" t="s">
        <v>141</v>
      </c>
      <c r="K42" s="48">
        <v>-4324</v>
      </c>
      <c r="L42" s="48" t="s">
        <v>142</v>
      </c>
      <c r="M42" s="49" t="s">
        <v>63</v>
      </c>
      <c r="N42" s="49"/>
      <c r="O42" s="50" t="s">
        <v>138</v>
      </c>
      <c r="P42" s="50" t="s">
        <v>139</v>
      </c>
    </row>
    <row r="43" spans="1:16" ht="12.75" customHeight="1" thickBot="1" x14ac:dyDescent="0.25">
      <c r="A43" s="27" t="str">
        <f t="shared" ref="A43:A59" si="6">P43</f>
        <v> HABZ 7 </v>
      </c>
      <c r="B43" s="5" t="str">
        <f t="shared" ref="B43:B59" si="7">IF(H43=INT(H43),"I","II")</f>
        <v>I</v>
      </c>
      <c r="C43" s="27">
        <f t="shared" ref="C43:C59" si="8">1*G43</f>
        <v>36818.411</v>
      </c>
      <c r="D43" s="10" t="str">
        <f t="shared" ref="D43:D59" si="9">VLOOKUP(F43,I$1:J$5,2,FALSE)</f>
        <v>vis</v>
      </c>
      <c r="E43" s="47">
        <f>VLOOKUP(C43,Active!C$21:E$973,3,FALSE)</f>
        <v>841.99313214817369</v>
      </c>
      <c r="F43" s="5" t="s">
        <v>52</v>
      </c>
      <c r="G43" s="10" t="str">
        <f t="shared" ref="G43:G59" si="10">MID(I43,3,LEN(I43)-3)</f>
        <v>36818.411</v>
      </c>
      <c r="H43" s="27">
        <f t="shared" ref="H43:H59" si="11">1*K43</f>
        <v>-4324</v>
      </c>
      <c r="I43" s="48" t="s">
        <v>143</v>
      </c>
      <c r="J43" s="49" t="s">
        <v>144</v>
      </c>
      <c r="K43" s="48">
        <v>-4324</v>
      </c>
      <c r="L43" s="48" t="s">
        <v>145</v>
      </c>
      <c r="M43" s="49" t="s">
        <v>63</v>
      </c>
      <c r="N43" s="49"/>
      <c r="O43" s="50" t="s">
        <v>138</v>
      </c>
      <c r="P43" s="50" t="s">
        <v>139</v>
      </c>
    </row>
    <row r="44" spans="1:16" ht="12.75" customHeight="1" thickBot="1" x14ac:dyDescent="0.25">
      <c r="A44" s="27" t="str">
        <f t="shared" si="6"/>
        <v> MVS 3.120 </v>
      </c>
      <c r="B44" s="5" t="str">
        <f t="shared" si="7"/>
        <v>I</v>
      </c>
      <c r="C44" s="27">
        <f t="shared" si="8"/>
        <v>37876.49</v>
      </c>
      <c r="D44" s="10" t="str">
        <f t="shared" si="9"/>
        <v>vis</v>
      </c>
      <c r="E44" s="47">
        <f>VLOOKUP(C44,Active!C$21:E$973,3,FALSE)</f>
        <v>1114.0126646745755</v>
      </c>
      <c r="F44" s="5" t="s">
        <v>52</v>
      </c>
      <c r="G44" s="10" t="str">
        <f t="shared" si="10"/>
        <v>37876.490</v>
      </c>
      <c r="H44" s="27">
        <f t="shared" si="11"/>
        <v>-4052</v>
      </c>
      <c r="I44" s="48" t="s">
        <v>146</v>
      </c>
      <c r="J44" s="49" t="s">
        <v>147</v>
      </c>
      <c r="K44" s="48">
        <v>-4052</v>
      </c>
      <c r="L44" s="48" t="s">
        <v>148</v>
      </c>
      <c r="M44" s="49" t="s">
        <v>63</v>
      </c>
      <c r="N44" s="49"/>
      <c r="O44" s="50" t="s">
        <v>121</v>
      </c>
      <c r="P44" s="50" t="s">
        <v>122</v>
      </c>
    </row>
    <row r="45" spans="1:16" ht="12.75" customHeight="1" thickBot="1" x14ac:dyDescent="0.25">
      <c r="A45" s="27" t="str">
        <f t="shared" si="6"/>
        <v> MVS 3.120 </v>
      </c>
      <c r="B45" s="5" t="str">
        <f t="shared" si="7"/>
        <v>I</v>
      </c>
      <c r="C45" s="27">
        <f t="shared" si="8"/>
        <v>38339.292000000001</v>
      </c>
      <c r="D45" s="10" t="str">
        <f t="shared" si="9"/>
        <v>vis</v>
      </c>
      <c r="E45" s="47">
        <f>VLOOKUP(C45,Active!C$21:E$973,3,FALSE)</f>
        <v>1232.9935571148233</v>
      </c>
      <c r="F45" s="5" t="s">
        <v>52</v>
      </c>
      <c r="G45" s="10" t="str">
        <f t="shared" si="10"/>
        <v>38339.292</v>
      </c>
      <c r="H45" s="27">
        <f t="shared" si="11"/>
        <v>-3933</v>
      </c>
      <c r="I45" s="48" t="s">
        <v>153</v>
      </c>
      <c r="J45" s="49" t="s">
        <v>154</v>
      </c>
      <c r="K45" s="48">
        <v>-3933</v>
      </c>
      <c r="L45" s="48" t="s">
        <v>145</v>
      </c>
      <c r="M45" s="49" t="s">
        <v>63</v>
      </c>
      <c r="N45" s="49"/>
      <c r="O45" s="50" t="s">
        <v>121</v>
      </c>
      <c r="P45" s="50" t="s">
        <v>122</v>
      </c>
    </row>
    <row r="46" spans="1:16" ht="12.75" customHeight="1" thickBot="1" x14ac:dyDescent="0.25">
      <c r="A46" s="27" t="str">
        <f t="shared" si="6"/>
        <v> BBS 39 </v>
      </c>
      <c r="B46" s="5" t="str">
        <f t="shared" si="7"/>
        <v>I</v>
      </c>
      <c r="C46" s="27">
        <f t="shared" si="8"/>
        <v>43769.38</v>
      </c>
      <c r="D46" s="10" t="str">
        <f t="shared" si="9"/>
        <v>vis</v>
      </c>
      <c r="E46" s="47">
        <f>VLOOKUP(C46,Active!C$21:E$973,3,FALSE)</f>
        <v>2629.0046293856326</v>
      </c>
      <c r="F46" s="5" t="s">
        <v>52</v>
      </c>
      <c r="G46" s="10" t="str">
        <f t="shared" si="10"/>
        <v>43769.380</v>
      </c>
      <c r="H46" s="27">
        <f t="shared" si="11"/>
        <v>-2537</v>
      </c>
      <c r="I46" s="48" t="s">
        <v>155</v>
      </c>
      <c r="J46" s="49" t="s">
        <v>156</v>
      </c>
      <c r="K46" s="48">
        <v>-2537</v>
      </c>
      <c r="L46" s="48" t="s">
        <v>157</v>
      </c>
      <c r="M46" s="49" t="s">
        <v>79</v>
      </c>
      <c r="N46" s="49"/>
      <c r="O46" s="50" t="s">
        <v>158</v>
      </c>
      <c r="P46" s="50" t="s">
        <v>159</v>
      </c>
    </row>
    <row r="47" spans="1:16" ht="12.75" customHeight="1" thickBot="1" x14ac:dyDescent="0.25">
      <c r="A47" s="27" t="str">
        <f t="shared" si="6"/>
        <v> BBS 60 </v>
      </c>
      <c r="B47" s="5" t="str">
        <f t="shared" si="7"/>
        <v>I</v>
      </c>
      <c r="C47" s="27">
        <f t="shared" si="8"/>
        <v>45103.529000000002</v>
      </c>
      <c r="D47" s="10" t="str">
        <f t="shared" si="9"/>
        <v>vis</v>
      </c>
      <c r="E47" s="47">
        <f>VLOOKUP(C47,Active!C$21:E$973,3,FALSE)</f>
        <v>2971.9984770100241</v>
      </c>
      <c r="F47" s="5" t="s">
        <v>52</v>
      </c>
      <c r="G47" s="10" t="str">
        <f t="shared" si="10"/>
        <v>45103.529</v>
      </c>
      <c r="H47" s="27">
        <f t="shared" si="11"/>
        <v>-2194</v>
      </c>
      <c r="I47" s="48" t="s">
        <v>160</v>
      </c>
      <c r="J47" s="49" t="s">
        <v>161</v>
      </c>
      <c r="K47" s="48">
        <v>-2194</v>
      </c>
      <c r="L47" s="48" t="s">
        <v>162</v>
      </c>
      <c r="M47" s="49" t="s">
        <v>163</v>
      </c>
      <c r="N47" s="49" t="s">
        <v>164</v>
      </c>
      <c r="O47" s="50" t="s">
        <v>158</v>
      </c>
      <c r="P47" s="50" t="s">
        <v>165</v>
      </c>
    </row>
    <row r="48" spans="1:16" ht="12.75" customHeight="1" thickBot="1" x14ac:dyDescent="0.25">
      <c r="A48" s="27" t="str">
        <f t="shared" si="6"/>
        <v> BBS 67 </v>
      </c>
      <c r="B48" s="5" t="str">
        <f t="shared" si="7"/>
        <v>I</v>
      </c>
      <c r="C48" s="27">
        <f t="shared" si="8"/>
        <v>45531.385999999999</v>
      </c>
      <c r="D48" s="10" t="str">
        <f t="shared" si="9"/>
        <v>vis</v>
      </c>
      <c r="E48" s="47">
        <f>VLOOKUP(C48,Active!C$21:E$973,3,FALSE)</f>
        <v>3081.995425374133</v>
      </c>
      <c r="F48" s="5" t="s">
        <v>52</v>
      </c>
      <c r="G48" s="10" t="str">
        <f t="shared" si="10"/>
        <v>45531.386</v>
      </c>
      <c r="H48" s="27">
        <f t="shared" si="11"/>
        <v>-2084</v>
      </c>
      <c r="I48" s="48" t="s">
        <v>166</v>
      </c>
      <c r="J48" s="49" t="s">
        <v>167</v>
      </c>
      <c r="K48" s="48">
        <v>-2084</v>
      </c>
      <c r="L48" s="48" t="s">
        <v>168</v>
      </c>
      <c r="M48" s="49" t="s">
        <v>79</v>
      </c>
      <c r="N48" s="49"/>
      <c r="O48" s="50" t="s">
        <v>158</v>
      </c>
      <c r="P48" s="50" t="s">
        <v>169</v>
      </c>
    </row>
    <row r="49" spans="1:16" ht="12.75" customHeight="1" thickBot="1" x14ac:dyDescent="0.25">
      <c r="A49" s="27" t="str">
        <f t="shared" si="6"/>
        <v> BBS 90 </v>
      </c>
      <c r="B49" s="5" t="str">
        <f t="shared" si="7"/>
        <v>I</v>
      </c>
      <c r="C49" s="27">
        <f t="shared" si="8"/>
        <v>47472.298999999999</v>
      </c>
      <c r="D49" s="10" t="str">
        <f t="shared" si="9"/>
        <v>vis</v>
      </c>
      <c r="E49" s="47">
        <f>VLOOKUP(C49,Active!C$21:E$973,3,FALSE)</f>
        <v>3580.9810842279776</v>
      </c>
      <c r="F49" s="5" t="s">
        <v>52</v>
      </c>
      <c r="G49" s="10" t="str">
        <f t="shared" si="10"/>
        <v>47472.299</v>
      </c>
      <c r="H49" s="27">
        <f t="shared" si="11"/>
        <v>-1585</v>
      </c>
      <c r="I49" s="48" t="s">
        <v>170</v>
      </c>
      <c r="J49" s="49" t="s">
        <v>171</v>
      </c>
      <c r="K49" s="48">
        <v>-1585</v>
      </c>
      <c r="L49" s="48" t="s">
        <v>172</v>
      </c>
      <c r="M49" s="49" t="s">
        <v>79</v>
      </c>
      <c r="N49" s="49"/>
      <c r="O49" s="50" t="s">
        <v>173</v>
      </c>
      <c r="P49" s="50" t="s">
        <v>174</v>
      </c>
    </row>
    <row r="50" spans="1:16" ht="12.75" customHeight="1" thickBot="1" x14ac:dyDescent="0.25">
      <c r="A50" s="27" t="str">
        <f t="shared" si="6"/>
        <v> BBS 97 </v>
      </c>
      <c r="B50" s="5" t="str">
        <f t="shared" si="7"/>
        <v>I</v>
      </c>
      <c r="C50" s="27">
        <f t="shared" si="8"/>
        <v>48176.34</v>
      </c>
      <c r="D50" s="10" t="str">
        <f t="shared" si="9"/>
        <v>vis</v>
      </c>
      <c r="E50" s="47">
        <f>VLOOKUP(C50,Active!C$21:E$973,3,FALSE)</f>
        <v>3761.9816557348499</v>
      </c>
      <c r="F50" s="5" t="s">
        <v>52</v>
      </c>
      <c r="G50" s="10" t="str">
        <f t="shared" si="10"/>
        <v>48176.340</v>
      </c>
      <c r="H50" s="27">
        <f t="shared" si="11"/>
        <v>-1404</v>
      </c>
      <c r="I50" s="48" t="s">
        <v>175</v>
      </c>
      <c r="J50" s="49" t="s">
        <v>176</v>
      </c>
      <c r="K50" s="48">
        <v>-1404</v>
      </c>
      <c r="L50" s="48" t="s">
        <v>177</v>
      </c>
      <c r="M50" s="49" t="s">
        <v>79</v>
      </c>
      <c r="N50" s="49"/>
      <c r="O50" s="50" t="s">
        <v>178</v>
      </c>
      <c r="P50" s="50" t="s">
        <v>179</v>
      </c>
    </row>
    <row r="51" spans="1:16" ht="12.75" customHeight="1" thickBot="1" x14ac:dyDescent="0.25">
      <c r="A51" s="27" t="str">
        <f t="shared" si="6"/>
        <v> BBS 96 </v>
      </c>
      <c r="B51" s="5" t="str">
        <f t="shared" si="7"/>
        <v>I</v>
      </c>
      <c r="C51" s="27">
        <f t="shared" si="8"/>
        <v>48176.428</v>
      </c>
      <c r="D51" s="10" t="str">
        <f t="shared" si="9"/>
        <v>vis</v>
      </c>
      <c r="E51" s="47">
        <f>VLOOKUP(C51,Active!C$21:E$973,3,FALSE)</f>
        <v>3762.0042794887127</v>
      </c>
      <c r="F51" s="5" t="s">
        <v>52</v>
      </c>
      <c r="G51" s="10" t="str">
        <f t="shared" si="10"/>
        <v>48176.428</v>
      </c>
      <c r="H51" s="27">
        <f t="shared" si="11"/>
        <v>-1404</v>
      </c>
      <c r="I51" s="48" t="s">
        <v>180</v>
      </c>
      <c r="J51" s="49" t="s">
        <v>181</v>
      </c>
      <c r="K51" s="48">
        <v>-1404</v>
      </c>
      <c r="L51" s="48" t="s">
        <v>125</v>
      </c>
      <c r="M51" s="49" t="s">
        <v>79</v>
      </c>
      <c r="N51" s="49"/>
      <c r="O51" s="50" t="s">
        <v>173</v>
      </c>
      <c r="P51" s="50" t="s">
        <v>182</v>
      </c>
    </row>
    <row r="52" spans="1:16" ht="12.75" customHeight="1" thickBot="1" x14ac:dyDescent="0.25">
      <c r="A52" s="27" t="str">
        <f t="shared" si="6"/>
        <v> BBS 102 </v>
      </c>
      <c r="B52" s="5" t="str">
        <f t="shared" si="7"/>
        <v>I</v>
      </c>
      <c r="C52" s="27">
        <f t="shared" si="8"/>
        <v>48841.466</v>
      </c>
      <c r="D52" s="10" t="str">
        <f t="shared" si="9"/>
        <v>vis</v>
      </c>
      <c r="E52" s="47">
        <f>VLOOKUP(C52,Active!C$21:E$973,3,FALSE)</f>
        <v>3932.9776433606862</v>
      </c>
      <c r="F52" s="5" t="s">
        <v>52</v>
      </c>
      <c r="G52" s="10" t="str">
        <f t="shared" si="10"/>
        <v>48841.466</v>
      </c>
      <c r="H52" s="27">
        <f t="shared" si="11"/>
        <v>-1233</v>
      </c>
      <c r="I52" s="48" t="s">
        <v>183</v>
      </c>
      <c r="J52" s="49" t="s">
        <v>184</v>
      </c>
      <c r="K52" s="48">
        <v>-1233</v>
      </c>
      <c r="L52" s="48" t="s">
        <v>185</v>
      </c>
      <c r="M52" s="49" t="s">
        <v>79</v>
      </c>
      <c r="N52" s="49"/>
      <c r="O52" s="50" t="s">
        <v>173</v>
      </c>
      <c r="P52" s="50" t="s">
        <v>186</v>
      </c>
    </row>
    <row r="53" spans="1:16" ht="12.75" customHeight="1" thickBot="1" x14ac:dyDescent="0.25">
      <c r="A53" s="27" t="str">
        <f t="shared" si="6"/>
        <v> BBS 102 </v>
      </c>
      <c r="B53" s="5" t="str">
        <f t="shared" si="7"/>
        <v>I</v>
      </c>
      <c r="C53" s="27">
        <f t="shared" si="8"/>
        <v>48845.358</v>
      </c>
      <c r="D53" s="10" t="str">
        <f t="shared" si="9"/>
        <v>vis</v>
      </c>
      <c r="E53" s="47">
        <f>VLOOKUP(C53,Active!C$21:E$973,3,FALSE)</f>
        <v>3933.9782302928461</v>
      </c>
      <c r="F53" s="5" t="s">
        <v>52</v>
      </c>
      <c r="G53" s="10" t="str">
        <f t="shared" si="10"/>
        <v>48845.358</v>
      </c>
      <c r="H53" s="27">
        <f t="shared" si="11"/>
        <v>-1232</v>
      </c>
      <c r="I53" s="48" t="s">
        <v>187</v>
      </c>
      <c r="J53" s="49" t="s">
        <v>188</v>
      </c>
      <c r="K53" s="48">
        <v>-1232</v>
      </c>
      <c r="L53" s="48" t="s">
        <v>137</v>
      </c>
      <c r="M53" s="49" t="s">
        <v>79</v>
      </c>
      <c r="N53" s="49"/>
      <c r="O53" s="50" t="s">
        <v>173</v>
      </c>
      <c r="P53" s="50" t="s">
        <v>186</v>
      </c>
    </row>
    <row r="54" spans="1:16" ht="12.75" customHeight="1" thickBot="1" x14ac:dyDescent="0.25">
      <c r="A54" s="27" t="str">
        <f t="shared" si="6"/>
        <v> BBS 107 </v>
      </c>
      <c r="B54" s="5" t="str">
        <f t="shared" si="7"/>
        <v>I</v>
      </c>
      <c r="C54" s="27">
        <f t="shared" si="8"/>
        <v>49549.413999999997</v>
      </c>
      <c r="D54" s="10" t="str">
        <f t="shared" si="9"/>
        <v>vis</v>
      </c>
      <c r="E54" s="47">
        <f>VLOOKUP(C54,Active!C$21:E$973,3,FALSE)</f>
        <v>4114.9826581213993</v>
      </c>
      <c r="F54" s="5" t="s">
        <v>52</v>
      </c>
      <c r="G54" s="10" t="str">
        <f t="shared" si="10"/>
        <v>49549.414</v>
      </c>
      <c r="H54" s="27">
        <f t="shared" si="11"/>
        <v>-1051</v>
      </c>
      <c r="I54" s="48" t="s">
        <v>189</v>
      </c>
      <c r="J54" s="49" t="s">
        <v>190</v>
      </c>
      <c r="K54" s="48">
        <v>-1051</v>
      </c>
      <c r="L54" s="48" t="s">
        <v>191</v>
      </c>
      <c r="M54" s="49" t="s">
        <v>79</v>
      </c>
      <c r="N54" s="49"/>
      <c r="O54" s="50" t="s">
        <v>173</v>
      </c>
      <c r="P54" s="50" t="s">
        <v>192</v>
      </c>
    </row>
    <row r="55" spans="1:16" ht="12.75" customHeight="1" thickBot="1" x14ac:dyDescent="0.25">
      <c r="A55" s="27" t="str">
        <f t="shared" si="6"/>
        <v> BBS 118 </v>
      </c>
      <c r="B55" s="5" t="str">
        <f t="shared" si="7"/>
        <v>II</v>
      </c>
      <c r="C55" s="27">
        <f t="shared" si="8"/>
        <v>51029.5</v>
      </c>
      <c r="D55" s="10" t="str">
        <f t="shared" si="9"/>
        <v>vis</v>
      </c>
      <c r="E55" s="47">
        <f>VLOOKUP(C55,Active!C$21:E$973,3,FALSE)</f>
        <v>4495.4951735563272</v>
      </c>
      <c r="F55" s="5" t="s">
        <v>52</v>
      </c>
      <c r="G55" s="10" t="str">
        <f t="shared" si="10"/>
        <v>51029.500</v>
      </c>
      <c r="H55" s="27">
        <f t="shared" si="11"/>
        <v>-670.5</v>
      </c>
      <c r="I55" s="48" t="s">
        <v>199</v>
      </c>
      <c r="J55" s="49" t="s">
        <v>200</v>
      </c>
      <c r="K55" s="48">
        <v>-670.5</v>
      </c>
      <c r="L55" s="48" t="s">
        <v>201</v>
      </c>
      <c r="M55" s="49" t="s">
        <v>163</v>
      </c>
      <c r="N55" s="49" t="s">
        <v>164</v>
      </c>
      <c r="O55" s="50" t="s">
        <v>158</v>
      </c>
      <c r="P55" s="50" t="s">
        <v>202</v>
      </c>
    </row>
    <row r="56" spans="1:16" ht="12.75" customHeight="1" thickBot="1" x14ac:dyDescent="0.25">
      <c r="A56" s="27" t="str">
        <f t="shared" si="6"/>
        <v> BBS 120 </v>
      </c>
      <c r="B56" s="5" t="str">
        <f t="shared" si="7"/>
        <v>I</v>
      </c>
      <c r="C56" s="27">
        <f t="shared" si="8"/>
        <v>51385.438999999998</v>
      </c>
      <c r="D56" s="10" t="str">
        <f t="shared" si="9"/>
        <v>vis</v>
      </c>
      <c r="E56" s="47">
        <f>VLOOKUP(C56,Active!C$21:E$973,3,FALSE)</f>
        <v>4587.0028590768934</v>
      </c>
      <c r="F56" s="5" t="s">
        <v>52</v>
      </c>
      <c r="G56" s="10" t="str">
        <f t="shared" si="10"/>
        <v>51385.439</v>
      </c>
      <c r="H56" s="27">
        <f t="shared" si="11"/>
        <v>-579</v>
      </c>
      <c r="I56" s="48" t="s">
        <v>203</v>
      </c>
      <c r="J56" s="49" t="s">
        <v>204</v>
      </c>
      <c r="K56" s="48">
        <v>-579</v>
      </c>
      <c r="L56" s="48" t="s">
        <v>110</v>
      </c>
      <c r="M56" s="49" t="s">
        <v>163</v>
      </c>
      <c r="N56" s="49" t="s">
        <v>164</v>
      </c>
      <c r="O56" s="50" t="s">
        <v>158</v>
      </c>
      <c r="P56" s="50" t="s">
        <v>205</v>
      </c>
    </row>
    <row r="57" spans="1:16" ht="12.75" customHeight="1" thickBot="1" x14ac:dyDescent="0.25">
      <c r="A57" s="27" t="str">
        <f t="shared" si="6"/>
        <v>VSB 45 </v>
      </c>
      <c r="B57" s="5" t="str">
        <f t="shared" si="7"/>
        <v>I</v>
      </c>
      <c r="C57" s="27">
        <f t="shared" si="8"/>
        <v>53933.215600000003</v>
      </c>
      <c r="D57" s="10" t="str">
        <f t="shared" si="9"/>
        <v>vis</v>
      </c>
      <c r="E57" s="47">
        <f>VLOOKUP(C57,Active!C$21:E$973,3,FALSE)</f>
        <v>5242.0059351361551</v>
      </c>
      <c r="F57" s="5" t="s">
        <v>52</v>
      </c>
      <c r="G57" s="10" t="str">
        <f t="shared" si="10"/>
        <v>53933.2156</v>
      </c>
      <c r="H57" s="27">
        <f t="shared" si="11"/>
        <v>76</v>
      </c>
      <c r="I57" s="48" t="s">
        <v>206</v>
      </c>
      <c r="J57" s="49" t="s">
        <v>207</v>
      </c>
      <c r="K57" s="48">
        <v>76</v>
      </c>
      <c r="L57" s="48" t="s">
        <v>208</v>
      </c>
      <c r="M57" s="49" t="s">
        <v>163</v>
      </c>
      <c r="N57" s="49" t="s">
        <v>164</v>
      </c>
      <c r="O57" s="50" t="s">
        <v>209</v>
      </c>
      <c r="P57" s="51" t="s">
        <v>210</v>
      </c>
    </row>
    <row r="58" spans="1:16" ht="12.75" customHeight="1" thickBot="1" x14ac:dyDescent="0.25">
      <c r="A58" s="27" t="str">
        <f t="shared" si="6"/>
        <v>VSB 45 </v>
      </c>
      <c r="B58" s="5" t="str">
        <f t="shared" si="7"/>
        <v>I</v>
      </c>
      <c r="C58" s="27">
        <f t="shared" si="8"/>
        <v>53972.095399999998</v>
      </c>
      <c r="D58" s="10" t="str">
        <f t="shared" si="9"/>
        <v>vis</v>
      </c>
      <c r="E58" s="47">
        <f>VLOOKUP(C58,Active!C$21:E$973,3,FALSE)</f>
        <v>5252.0014695156478</v>
      </c>
      <c r="F58" s="5" t="s">
        <v>52</v>
      </c>
      <c r="G58" s="10" t="str">
        <f t="shared" si="10"/>
        <v>53972.0954</v>
      </c>
      <c r="H58" s="27">
        <f t="shared" si="11"/>
        <v>86</v>
      </c>
      <c r="I58" s="48" t="s">
        <v>211</v>
      </c>
      <c r="J58" s="49" t="s">
        <v>212</v>
      </c>
      <c r="K58" s="48">
        <v>86</v>
      </c>
      <c r="L58" s="48" t="s">
        <v>213</v>
      </c>
      <c r="M58" s="49" t="s">
        <v>163</v>
      </c>
      <c r="N58" s="49" t="s">
        <v>164</v>
      </c>
      <c r="O58" s="50" t="s">
        <v>209</v>
      </c>
      <c r="P58" s="51" t="s">
        <v>210</v>
      </c>
    </row>
    <row r="59" spans="1:16" ht="12.75" customHeight="1" thickBot="1" x14ac:dyDescent="0.25">
      <c r="A59" s="27" t="str">
        <f t="shared" si="6"/>
        <v>BAVM 241 (=IBVS 6157) </v>
      </c>
      <c r="B59" s="5" t="str">
        <f t="shared" si="7"/>
        <v>I</v>
      </c>
      <c r="C59" s="27">
        <f t="shared" si="8"/>
        <v>57204.462299999999</v>
      </c>
      <c r="D59" s="10" t="str">
        <f t="shared" si="9"/>
        <v>vis</v>
      </c>
      <c r="E59" s="47" t="e">
        <f>VLOOKUP(C59,Active!C$21:E$973,3,FALSE)</f>
        <v>#N/A</v>
      </c>
      <c r="F59" s="5" t="s">
        <v>52</v>
      </c>
      <c r="G59" s="10" t="str">
        <f t="shared" si="10"/>
        <v>57204.4623</v>
      </c>
      <c r="H59" s="27">
        <f t="shared" si="11"/>
        <v>917</v>
      </c>
      <c r="I59" s="48" t="s">
        <v>242</v>
      </c>
      <c r="J59" s="49" t="s">
        <v>243</v>
      </c>
      <c r="K59" s="48" t="s">
        <v>244</v>
      </c>
      <c r="L59" s="48" t="s">
        <v>245</v>
      </c>
      <c r="M59" s="49" t="s">
        <v>217</v>
      </c>
      <c r="N59" s="49" t="s">
        <v>235</v>
      </c>
      <c r="O59" s="50" t="s">
        <v>236</v>
      </c>
      <c r="P59" s="51" t="s">
        <v>246</v>
      </c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</sheetData>
  <phoneticPr fontId="7" type="noConversion"/>
  <hyperlinks>
    <hyperlink ref="A3" r:id="rId1" xr:uid="{00000000-0004-0000-0100-000000000000}"/>
    <hyperlink ref="P12" r:id="rId2" display="http://www.konkoly.hu/cgi-bin/IBVS?35" xr:uid="{00000000-0004-0000-0100-000001000000}"/>
    <hyperlink ref="P13" r:id="rId3" display="http://www.bav-astro.de/sfs/BAVM_link.php?BAVMnr=90" xr:uid="{00000000-0004-0000-0100-000002000000}"/>
    <hyperlink ref="P57" r:id="rId4" display="http://vsolj.cetus-net.org/no45.pdf" xr:uid="{00000000-0004-0000-0100-000003000000}"/>
    <hyperlink ref="P58" r:id="rId5" display="http://vsolj.cetus-net.org/no45.pdf" xr:uid="{00000000-0004-0000-0100-000004000000}"/>
    <hyperlink ref="P14" r:id="rId6" display="http://www.konkoly.hu/cgi-bin/IBVS?5945" xr:uid="{00000000-0004-0000-0100-000005000000}"/>
    <hyperlink ref="P15" r:id="rId7" display="http://var.astro.cz/oejv/issues/oejv0160.pdf" xr:uid="{00000000-0004-0000-0100-000006000000}"/>
    <hyperlink ref="P16" r:id="rId8" display="http://www.konkoly.hu/cgi-bin/IBVS?6063" xr:uid="{00000000-0004-0000-0100-000007000000}"/>
    <hyperlink ref="P11" r:id="rId9" display="http://www.konkoly.hu/cgi-bin/IBVS?6063" xr:uid="{00000000-0004-0000-0100-000008000000}"/>
    <hyperlink ref="P17" r:id="rId10" display="http://www.bav-astro.de/sfs/BAVM_link.php?BAVMnr=234" xr:uid="{00000000-0004-0000-0100-000009000000}"/>
    <hyperlink ref="P18" r:id="rId11" display="http://var.astro.cz/oejv/issues/oejv0160.pdf" xr:uid="{00000000-0004-0000-0100-00000A000000}"/>
    <hyperlink ref="P59" r:id="rId12" display="http://www.bav-astro.de/sfs/BAVM_link.php?BAVMnr=241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2024-09-16T07:38:32Z</dcterms:modified>
</cp:coreProperties>
</file>