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F35C56F-DEA1-45AF-9292-4FA532AA69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3" i="1"/>
  <c r="Q24" i="1"/>
  <c r="Q25" i="1"/>
  <c r="Q26" i="1"/>
  <c r="Q27" i="1"/>
  <c r="Q28" i="1"/>
  <c r="Q29" i="1"/>
  <c r="Q30" i="1"/>
  <c r="Q31" i="1"/>
  <c r="Q32" i="1"/>
  <c r="Q34" i="1"/>
  <c r="Q35" i="1"/>
  <c r="Q38" i="1"/>
  <c r="Q40" i="1"/>
  <c r="Q41" i="1"/>
  <c r="Q42" i="1"/>
  <c r="Q43" i="1"/>
  <c r="Q44" i="1"/>
  <c r="Q47" i="1"/>
  <c r="Q48" i="1"/>
  <c r="Q53" i="1"/>
  <c r="Q55" i="1"/>
  <c r="Q57" i="1"/>
  <c r="Q59" i="1"/>
  <c r="Q60" i="1"/>
  <c r="Q61" i="1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31" i="2"/>
  <c r="C31" i="2"/>
  <c r="G32" i="2"/>
  <c r="C32" i="2"/>
  <c r="G11" i="2"/>
  <c r="C11" i="2"/>
  <c r="G33" i="2"/>
  <c r="C33" i="2"/>
  <c r="G34" i="2"/>
  <c r="C34" i="2"/>
  <c r="G12" i="2"/>
  <c r="C12" i="2"/>
  <c r="G13" i="2"/>
  <c r="C13" i="2"/>
  <c r="G35" i="2"/>
  <c r="C35" i="2"/>
  <c r="G14" i="2"/>
  <c r="C14" i="2"/>
  <c r="G36" i="2"/>
  <c r="C36" i="2"/>
  <c r="G37" i="2"/>
  <c r="C37" i="2"/>
  <c r="G38" i="2"/>
  <c r="C38" i="2"/>
  <c r="G39" i="2"/>
  <c r="C39" i="2"/>
  <c r="G40" i="2"/>
  <c r="C40" i="2"/>
  <c r="G15" i="2"/>
  <c r="C15" i="2"/>
  <c r="G16" i="2"/>
  <c r="C16" i="2"/>
  <c r="G41" i="2"/>
  <c r="C41" i="2"/>
  <c r="G42" i="2"/>
  <c r="C42" i="2"/>
  <c r="G17" i="2"/>
  <c r="C17" i="2"/>
  <c r="G18" i="2"/>
  <c r="C18" i="2"/>
  <c r="G19" i="2"/>
  <c r="C19" i="2"/>
  <c r="G20" i="2"/>
  <c r="C20" i="2"/>
  <c r="G43" i="2"/>
  <c r="C43" i="2"/>
  <c r="G44" i="2"/>
  <c r="C44" i="2"/>
  <c r="G45" i="2"/>
  <c r="C45" i="2"/>
  <c r="G46" i="2"/>
  <c r="C46" i="2"/>
  <c r="G47" i="2"/>
  <c r="C47" i="2"/>
  <c r="G48" i="2"/>
  <c r="C48" i="2"/>
  <c r="G21" i="2"/>
  <c r="C21" i="2"/>
  <c r="G22" i="2"/>
  <c r="C22" i="2"/>
  <c r="H21" i="2"/>
  <c r="D21" i="2"/>
  <c r="B21" i="2"/>
  <c r="A21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42" i="2"/>
  <c r="D42" i="2"/>
  <c r="B42" i="2"/>
  <c r="A42" i="2"/>
  <c r="H41" i="2"/>
  <c r="D41" i="2"/>
  <c r="B41" i="2"/>
  <c r="A41" i="2"/>
  <c r="H16" i="2"/>
  <c r="D16" i="2"/>
  <c r="B16" i="2"/>
  <c r="A16" i="2"/>
  <c r="H15" i="2"/>
  <c r="D15" i="2"/>
  <c r="B15" i="2"/>
  <c r="A15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14" i="2"/>
  <c r="D14" i="2"/>
  <c r="B14" i="2"/>
  <c r="A14" i="2"/>
  <c r="H35" i="2"/>
  <c r="D35" i="2"/>
  <c r="B35" i="2"/>
  <c r="A35" i="2"/>
  <c r="H13" i="2"/>
  <c r="D13" i="2"/>
  <c r="B13" i="2"/>
  <c r="A13" i="2"/>
  <c r="H12" i="2"/>
  <c r="D12" i="2"/>
  <c r="B12" i="2"/>
  <c r="A12" i="2"/>
  <c r="H34" i="2"/>
  <c r="D34" i="2"/>
  <c r="B34" i="2"/>
  <c r="A34" i="2"/>
  <c r="H33" i="2"/>
  <c r="D33" i="2"/>
  <c r="B33" i="2"/>
  <c r="A33" i="2"/>
  <c r="H11" i="2"/>
  <c r="D11" i="2"/>
  <c r="B11" i="2"/>
  <c r="A11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Q62" i="1"/>
  <c r="F16" i="1"/>
  <c r="F17" i="1" s="1"/>
  <c r="C17" i="1"/>
  <c r="Q54" i="1"/>
  <c r="Q56" i="1"/>
  <c r="Q58" i="1"/>
  <c r="Q52" i="1"/>
  <c r="C7" i="1"/>
  <c r="E21" i="1"/>
  <c r="F21" i="1"/>
  <c r="C8" i="1"/>
  <c r="Q22" i="1"/>
  <c r="Q33" i="1"/>
  <c r="Q36" i="1"/>
  <c r="Q37" i="1"/>
  <c r="Q39" i="1"/>
  <c r="Q45" i="1"/>
  <c r="Q46" i="1"/>
  <c r="Q49" i="1"/>
  <c r="Q50" i="1"/>
  <c r="Q51" i="1"/>
  <c r="E17" i="2"/>
  <c r="E22" i="2"/>
  <c r="E30" i="2"/>
  <c r="E21" i="2"/>
  <c r="E37" i="2"/>
  <c r="E23" i="2"/>
  <c r="E34" i="2"/>
  <c r="E28" i="2"/>
  <c r="E47" i="2"/>
  <c r="E33" i="2"/>
  <c r="E43" i="2"/>
  <c r="E46" i="2"/>
  <c r="E14" i="2"/>
  <c r="E11" i="2"/>
  <c r="E49" i="1"/>
  <c r="F49" i="1"/>
  <c r="G33" i="1"/>
  <c r="I33" i="1"/>
  <c r="E61" i="1"/>
  <c r="F61" i="1"/>
  <c r="G61" i="1"/>
  <c r="I61" i="1"/>
  <c r="E44" i="1"/>
  <c r="F44" i="1"/>
  <c r="G35" i="1"/>
  <c r="I35" i="1"/>
  <c r="E32" i="1"/>
  <c r="F32" i="1"/>
  <c r="G32" i="1"/>
  <c r="I32" i="1"/>
  <c r="E24" i="1"/>
  <c r="F24" i="1"/>
  <c r="G58" i="1"/>
  <c r="K58" i="1"/>
  <c r="E54" i="1"/>
  <c r="F54" i="1"/>
  <c r="E39" i="1"/>
  <c r="F39" i="1"/>
  <c r="G60" i="1"/>
  <c r="I60" i="1"/>
  <c r="E57" i="1"/>
  <c r="F57" i="1"/>
  <c r="E41" i="1"/>
  <c r="F41" i="1"/>
  <c r="G41" i="1"/>
  <c r="I41" i="1"/>
  <c r="G31" i="1"/>
  <c r="I31" i="1"/>
  <c r="E29" i="1"/>
  <c r="F29" i="1"/>
  <c r="G62" i="1"/>
  <c r="K62" i="1"/>
  <c r="E51" i="1"/>
  <c r="F51" i="1"/>
  <c r="G51" i="1"/>
  <c r="K51" i="1"/>
  <c r="E33" i="1"/>
  <c r="F33" i="1"/>
  <c r="G55" i="1"/>
  <c r="K55" i="1"/>
  <c r="E48" i="1"/>
  <c r="F48" i="1"/>
  <c r="G48" i="1"/>
  <c r="I48" i="1"/>
  <c r="E35" i="1"/>
  <c r="F35" i="1"/>
  <c r="G28" i="1"/>
  <c r="I28" i="1"/>
  <c r="E26" i="1"/>
  <c r="F26" i="1"/>
  <c r="G26" i="1"/>
  <c r="I26" i="1"/>
  <c r="E58" i="1"/>
  <c r="F58" i="1"/>
  <c r="E45" i="1"/>
  <c r="F45" i="1"/>
  <c r="G45" i="1"/>
  <c r="J45" i="1"/>
  <c r="G46" i="1"/>
  <c r="J46" i="1"/>
  <c r="E60" i="1"/>
  <c r="F60" i="1"/>
  <c r="E43" i="1"/>
  <c r="F43" i="1"/>
  <c r="G43" i="1"/>
  <c r="I43" i="1"/>
  <c r="G34" i="1"/>
  <c r="I34" i="1"/>
  <c r="E31" i="1"/>
  <c r="F31" i="1"/>
  <c r="E23" i="1"/>
  <c r="F23" i="1"/>
  <c r="G23" i="1"/>
  <c r="I23" i="1"/>
  <c r="G56" i="1"/>
  <c r="K56" i="1"/>
  <c r="E62" i="1"/>
  <c r="F62" i="1"/>
  <c r="E37" i="1"/>
  <c r="F37" i="1"/>
  <c r="G37" i="1"/>
  <c r="I37" i="1"/>
  <c r="G59" i="1"/>
  <c r="I59" i="1"/>
  <c r="E55" i="1"/>
  <c r="F55" i="1"/>
  <c r="E40" i="1"/>
  <c r="F40" i="1"/>
  <c r="G40" i="1"/>
  <c r="I40" i="1"/>
  <c r="G30" i="1"/>
  <c r="I30" i="1"/>
  <c r="E28" i="1"/>
  <c r="F28" i="1"/>
  <c r="G52" i="1"/>
  <c r="K52" i="1"/>
  <c r="E50" i="1"/>
  <c r="F50" i="1"/>
  <c r="G50" i="1"/>
  <c r="K50" i="1"/>
  <c r="E46" i="1"/>
  <c r="F46" i="1"/>
  <c r="G53" i="1"/>
  <c r="K53" i="1"/>
  <c r="E47" i="1"/>
  <c r="F47" i="1"/>
  <c r="G47" i="1"/>
  <c r="E34" i="1"/>
  <c r="F34" i="1"/>
  <c r="G27" i="1"/>
  <c r="I27" i="1"/>
  <c r="E25" i="1"/>
  <c r="F25" i="1"/>
  <c r="G25" i="1"/>
  <c r="I25" i="1"/>
  <c r="G21" i="1"/>
  <c r="I21" i="1"/>
  <c r="E56" i="1"/>
  <c r="F56" i="1"/>
  <c r="G49" i="1"/>
  <c r="K49" i="1"/>
  <c r="E22" i="1"/>
  <c r="F22" i="1"/>
  <c r="G22" i="1"/>
  <c r="H22" i="1"/>
  <c r="E59" i="1"/>
  <c r="F59" i="1"/>
  <c r="G44" i="1"/>
  <c r="I44" i="1"/>
  <c r="E42" i="1"/>
  <c r="F42" i="1"/>
  <c r="G42" i="1"/>
  <c r="I42" i="1"/>
  <c r="E30" i="1"/>
  <c r="F30" i="1"/>
  <c r="G24" i="1"/>
  <c r="I24" i="1"/>
  <c r="G54" i="1"/>
  <c r="K54" i="1"/>
  <c r="E52" i="1"/>
  <c r="F52" i="1"/>
  <c r="G39" i="1"/>
  <c r="I39" i="1"/>
  <c r="E36" i="1"/>
  <c r="F36" i="1"/>
  <c r="G36" i="1"/>
  <c r="I36" i="1"/>
  <c r="G57" i="1"/>
  <c r="K57" i="1"/>
  <c r="E53" i="1"/>
  <c r="F53" i="1"/>
  <c r="E38" i="1"/>
  <c r="F38" i="1"/>
  <c r="G38" i="1"/>
  <c r="I38" i="1"/>
  <c r="G29" i="1"/>
  <c r="I29" i="1"/>
  <c r="E27" i="1"/>
  <c r="F27" i="1"/>
  <c r="J47" i="1"/>
  <c r="E15" i="2"/>
  <c r="E16" i="2"/>
  <c r="E36" i="2"/>
  <c r="E24" i="2"/>
  <c r="E40" i="2"/>
  <c r="E19" i="2"/>
  <c r="E48" i="2"/>
  <c r="E20" i="2"/>
  <c r="E31" i="2"/>
  <c r="E41" i="2"/>
  <c r="E13" i="2"/>
  <c r="E26" i="2"/>
  <c r="E25" i="2"/>
  <c r="E12" i="2"/>
  <c r="E39" i="2"/>
  <c r="E18" i="2"/>
  <c r="E38" i="2"/>
  <c r="E42" i="2"/>
  <c r="E27" i="2"/>
  <c r="E32" i="2"/>
  <c r="E35" i="2"/>
  <c r="E45" i="2"/>
  <c r="E44" i="2"/>
  <c r="E29" i="2"/>
  <c r="C12" i="1"/>
  <c r="C11" i="1"/>
  <c r="O22" i="1" l="1"/>
  <c r="C15" i="1"/>
  <c r="F18" i="1" s="1"/>
  <c r="O59" i="1"/>
  <c r="O39" i="1"/>
  <c r="O23" i="1"/>
  <c r="O50" i="1"/>
  <c r="O46" i="1"/>
  <c r="O52" i="1"/>
  <c r="O36" i="1"/>
  <c r="O31" i="1"/>
  <c r="O45" i="1"/>
  <c r="O56" i="1"/>
  <c r="O33" i="1"/>
  <c r="O53" i="1"/>
  <c r="O21" i="1"/>
  <c r="O24" i="1"/>
  <c r="O38" i="1"/>
  <c r="O51" i="1"/>
  <c r="O40" i="1"/>
  <c r="O60" i="1"/>
  <c r="O44" i="1"/>
  <c r="O57" i="1"/>
  <c r="O61" i="1"/>
  <c r="O30" i="1"/>
  <c r="O34" i="1"/>
  <c r="O49" i="1"/>
  <c r="O48" i="1"/>
  <c r="O58" i="1"/>
  <c r="O42" i="1"/>
  <c r="O47" i="1"/>
  <c r="O62" i="1"/>
  <c r="O27" i="1"/>
  <c r="O43" i="1"/>
  <c r="O32" i="1"/>
  <c r="O26" i="1"/>
  <c r="O41" i="1"/>
  <c r="O35" i="1"/>
  <c r="O37" i="1"/>
  <c r="O54" i="1"/>
  <c r="O28" i="1"/>
  <c r="O29" i="1"/>
  <c r="O55" i="1"/>
  <c r="O25" i="1"/>
  <c r="C16" i="1"/>
  <c r="D18" i="1" s="1"/>
  <c r="F19" i="1" l="1"/>
  <c r="C18" i="1"/>
</calcChain>
</file>

<file path=xl/sharedStrings.xml><?xml version="1.0" encoding="utf-8"?>
<sst xmlns="http://schemas.openxmlformats.org/spreadsheetml/2006/main" count="453" uniqueCount="219">
  <si>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</si>
  <si>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</si>
  <si>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</si>
  <si>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</si>
  <si>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</si>
  <si>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</si>
  <si>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</si>
  <si>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</si>
  <si>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</si>
  <si>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</si>
  <si>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</si>
  <si>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</si>
  <si>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</si>
  <si>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</si>
  <si>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</si>
  <si>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</si>
  <si>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</si>
  <si>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</si>
  <si>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</si>
  <si>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</si>
  <si>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</si>
  <si>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</si>
  <si>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</si>
  <si>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</si>
  <si>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</si>
  <si>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</si>
  <si>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Bull.78</t>
  </si>
  <si>
    <t>B</t>
  </si>
  <si>
    <t>BBSAG Bull.81</t>
  </si>
  <si>
    <t>BBSAG Bull.84</t>
  </si>
  <si>
    <t>BBSAG Bull.88</t>
  </si>
  <si>
    <t>Blaettler E</t>
  </si>
  <si>
    <t>BBSAG Bull.118</t>
  </si>
  <si>
    <t>IBVS 4222</t>
  </si>
  <si>
    <t>I</t>
  </si>
  <si>
    <t>IBVS 5583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</si>
  <si>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</si>
  <si>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</si>
  <si>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</si>
  <si>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</si>
  <si>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</si>
  <si>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</si>
  <si>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</si>
  <si>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</si>
  <si>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Start of linear fit &gt;&gt;&gt;&gt;&gt;&gt;&gt;&gt;&gt;&gt;&gt;&gt;&gt;&gt;&gt;&gt;&gt;&gt;&gt;&gt;&gt;</t>
  </si>
  <si>
    <t>OEJV 0107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</si>
  <si>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</si>
  <si>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</si>
  <si>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</si>
  <si>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</si>
  <si>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</si>
  <si>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</si>
  <si>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</si>
  <si>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</si>
  <si>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</si>
  <si>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</si>
  <si>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</si>
  <si>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</si>
  <si>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</si>
  <si>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</si>
  <si>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2428067.327 </t>
  </si>
  <si>
    <t> 21.09.1935 19:50 </t>
  </si>
  <si>
    <t> -0.190 </t>
  </si>
  <si>
    <t>P </t>
  </si>
  <si>
    <t> E.Rohlfs </t>
  </si>
  <si>
    <t> VSS 1.248 </t>
  </si>
  <si>
    <t>2429071.461 </t>
  </si>
  <si>
    <t> 21.06.1938 23:03 </t>
  </si>
  <si>
    <t> -0.166 </t>
  </si>
  <si>
    <t>2429087.508 </t>
  </si>
  <si>
    <t> 08.07.1938 00:11 </t>
  </si>
  <si>
    <t> -0.159 </t>
  </si>
  <si>
    <t>2429546.281 </t>
  </si>
  <si>
    <t> 09.10.1939 18:44 </t>
  </si>
  <si>
    <t> -0.133 </t>
  </si>
  <si>
    <t>2429931.252 </t>
  </si>
  <si>
    <t> 28.10.1940 18:02 </t>
  </si>
  <si>
    <t> -0.125 </t>
  </si>
  <si>
    <t>2430582.409 </t>
  </si>
  <si>
    <t> 10.08.1942 21:48 </t>
  </si>
  <si>
    <t> -0.196 </t>
  </si>
  <si>
    <t>2431292.468 </t>
  </si>
  <si>
    <t> 20.07.1944 23:13 </t>
  </si>
  <si>
    <t> -0.178 </t>
  </si>
  <si>
    <t>2431321.379 </t>
  </si>
  <si>
    <t> 18.08.1944 21:05 </t>
  </si>
  <si>
    <t> -0.140 </t>
  </si>
  <si>
    <t>2431322.421 </t>
  </si>
  <si>
    <t> 19.08.1944 22:06 </t>
  </si>
  <si>
    <t> -0.167 </t>
  </si>
  <si>
    <t>2431323.470 </t>
  </si>
  <si>
    <t> 20.08.1944 23:16 </t>
  </si>
  <si>
    <t> -0.187 </t>
  </si>
  <si>
    <t>2431352.341 </t>
  </si>
  <si>
    <t> 18.09.1944 20:11 </t>
  </si>
  <si>
    <t> -0.188 </t>
  </si>
  <si>
    <t>2446326.452 </t>
  </si>
  <si>
    <t> 17.09.1985 22:50 </t>
  </si>
  <si>
    <t> -0.045 </t>
  </si>
  <si>
    <t>V </t>
  </si>
  <si>
    <t> K.Locher </t>
  </si>
  <si>
    <t> BBS 78 </t>
  </si>
  <si>
    <t>2446340.358 </t>
  </si>
  <si>
    <t> 01.10.1985 20:35 </t>
  </si>
  <si>
    <t> -0.041 </t>
  </si>
  <si>
    <t> J.Borovicka </t>
  </si>
  <si>
    <t> BRNO 27 </t>
  </si>
  <si>
    <t>2446619.467 </t>
  </si>
  <si>
    <t> 07.07.1986 23:12 </t>
  </si>
  <si>
    <t> -0.030 </t>
  </si>
  <si>
    <t> V.Wagner </t>
  </si>
  <si>
    <t> BRNO 28 </t>
  </si>
  <si>
    <t>2446651.534 </t>
  </si>
  <si>
    <t> 09.08.1986 00:48 </t>
  </si>
  <si>
    <t> -0.043 </t>
  </si>
  <si>
    <t> BBS 81 </t>
  </si>
  <si>
    <t>2446975.540 </t>
  </si>
  <si>
    <t> 29.06.1987 00:57 </t>
  </si>
  <si>
    <t> -0.047 </t>
  </si>
  <si>
    <t> BBS 84 </t>
  </si>
  <si>
    <t>2447095.315 </t>
  </si>
  <si>
    <t> 26.10.1987 19:33 </t>
  </si>
  <si>
    <t> -0.038 </t>
  </si>
  <si>
    <t> J.Manek </t>
  </si>
  <si>
    <t> BRNO 30 </t>
  </si>
  <si>
    <t>2447330.568 </t>
  </si>
  <si>
    <t> 18.06.1988 01:37 </t>
  </si>
  <si>
    <t> -0.040 </t>
  </si>
  <si>
    <t> BBS 88 </t>
  </si>
  <si>
    <t>2447359.438 </t>
  </si>
  <si>
    <t> 16.07.1988 22:30 </t>
  </si>
  <si>
    <t> -0.042 </t>
  </si>
  <si>
    <t> A.Slatinsky </t>
  </si>
  <si>
    <t>2447714.454 </t>
  </si>
  <si>
    <t> 06.07.1989 22:53 </t>
  </si>
  <si>
    <t> A.Dedoch </t>
  </si>
  <si>
    <t>2447714.455 </t>
  </si>
  <si>
    <t> 06.07.1989 22:55 </t>
  </si>
  <si>
    <t> -0.046 </t>
  </si>
  <si>
    <t> F.Hroch </t>
  </si>
  <si>
    <t>2447714.458 </t>
  </si>
  <si>
    <t> 06.07.1989 22:59 </t>
  </si>
  <si>
    <t> P.Lutcha </t>
  </si>
  <si>
    <t>2448038.471 </t>
  </si>
  <si>
    <t> 26.05.1990 23:18 </t>
  </si>
  <si>
    <t> BRNO 31 </t>
  </si>
  <si>
    <t>2449534.4824 </t>
  </si>
  <si>
    <t> 30.06.1994 23:34 </t>
  </si>
  <si>
    <t> -0.0350 </t>
  </si>
  <si>
    <t>E </t>
  </si>
  <si>
    <t>o</t>
  </si>
  <si>
    <t> W.Moschner </t>
  </si>
  <si>
    <t>BAVM 80 </t>
  </si>
  <si>
    <t>2451013.3902 </t>
  </si>
  <si>
    <t> 18.07.1998 21:21 </t>
  </si>
  <si>
    <t> -0.0244 </t>
  </si>
  <si>
    <t>?</t>
  </si>
  <si>
    <t> E.Blättler </t>
  </si>
  <si>
    <t> BBS 118 </t>
  </si>
  <si>
    <t>2451769.4206 </t>
  </si>
  <si>
    <t> 12.08.2000 22:05 </t>
  </si>
  <si>
    <t> -0.0174 </t>
  </si>
  <si>
    <t> R.Diethelm </t>
  </si>
  <si>
    <t> BBS 123 </t>
  </si>
  <si>
    <t>2452094.502 </t>
  </si>
  <si>
    <t> 04.07.2001 00:02 </t>
  </si>
  <si>
    <t> -0.015 </t>
  </si>
  <si>
    <t> BBS 126 </t>
  </si>
  <si>
    <t>2452139.4160 </t>
  </si>
  <si>
    <t> 17.08.2001 21:59 </t>
  </si>
  <si>
    <t> -0.0137 </t>
  </si>
  <si>
    <t> M.Zejda </t>
  </si>
  <si>
    <t>IBVS 5583 </t>
  </si>
  <si>
    <t>2452495.5089 </t>
  </si>
  <si>
    <t> 09.08.2002 00:12 </t>
  </si>
  <si>
    <t> -0.0110 </t>
  </si>
  <si>
    <t>2452878.3351 </t>
  </si>
  <si>
    <t> 26.08.2003 20:02 </t>
  </si>
  <si>
    <t> -0.0085 </t>
  </si>
  <si>
    <t>2453233.3578 </t>
  </si>
  <si>
    <t> 15.08.2004 20:35 </t>
  </si>
  <si>
    <t> -0.0067 </t>
  </si>
  <si>
    <t> M.Zejda et al. </t>
  </si>
  <si>
    <t>IBVS 5741 </t>
  </si>
  <si>
    <t>2453633.2913 </t>
  </si>
  <si>
    <t> 19.09.2005 18:59 </t>
  </si>
  <si>
    <t> -0.0063 </t>
  </si>
  <si>
    <t>C </t>
  </si>
  <si>
    <t>R</t>
  </si>
  <si>
    <t> M.Lehky </t>
  </si>
  <si>
    <t>OEJV 0107 </t>
  </si>
  <si>
    <t>2453989.3812 </t>
  </si>
  <si>
    <t> 10.09.2006 21:08 </t>
  </si>
  <si>
    <t>2454019.3228 </t>
  </si>
  <si>
    <t> 10.10.2006 19:44 </t>
  </si>
  <si>
    <t> -0.0066 </t>
  </si>
  <si>
    <t>2454314.4620 </t>
  </si>
  <si>
    <t> 01.08.2007 23:05 </t>
  </si>
  <si>
    <t> -0.0052 </t>
  </si>
  <si>
    <t>-I</t>
  </si>
  <si>
    <t> F.Agerer </t>
  </si>
  <si>
    <t>BAVM 193 </t>
  </si>
  <si>
    <t>2454375.4147 </t>
  </si>
  <si>
    <t> 01.10.2007 21:57 </t>
  </si>
  <si>
    <t>690</t>
  </si>
  <si>
    <t> -0.0049 </t>
  </si>
  <si>
    <t>2454389.3152 </t>
  </si>
  <si>
    <t> 15.10.2007 19:33 </t>
  </si>
  <si>
    <t>703</t>
  </si>
  <si>
    <t> -0.0058 </t>
  </si>
  <si>
    <t>2455828.6509 </t>
  </si>
  <si>
    <t> 24.09.2011 03:37 </t>
  </si>
  <si>
    <t>2049</t>
  </si>
  <si>
    <t> -0.0018 </t>
  </si>
  <si>
    <t>IBVS 6011 </t>
  </si>
  <si>
    <t>s5</t>
  </si>
  <si>
    <t>s6</t>
  </si>
  <si>
    <t>s7</t>
  </si>
  <si>
    <t>V0761 Aql / gsc 1083-2314-1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</si>
</sst>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9" fillId="0" borderId="0" xfId="0" applyFont="1" applyAlignment="1"/>
    <xf numFmtId="0" fontId="12" fillId="0" borderId="0" xfId="0" applyFont="1" applyAlignment="1">
      <alignment horizontal="center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V0761 Aql - O-C Diagr.</a:t>
            </a:r>
          </a:p>
        </c:rich>
      </c:tx>
      <c:layout>
        <c:manualLayout>
          <c:xMode val="edge"/>
          <c:yMode val="edge"/>
          <c:x val="0.330578946226762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68612967108574"/>
          <c:y val="0.14769252958613219"/>
          <c:w val="0.7582652277824241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50-4902-A096-2E009563D7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-1.4999999999417923E-2</c:v>
                </c:pt>
                <c:pt idx="2">
                  <c:v>5.9230000006209593E-3</c:v>
                </c:pt>
                <c:pt idx="3">
                  <c:v>1.2778000000253087E-2</c:v>
                </c:pt>
                <c:pt idx="4">
                  <c:v>3.7630999999237247E-2</c:v>
                </c:pt>
                <c:pt idx="5">
                  <c:v>4.5150999998440966E-2</c:v>
                </c:pt>
                <c:pt idx="6">
                  <c:v>-2.7736000000004424E-2</c:v>
                </c:pt>
                <c:pt idx="7">
                  <c:v>-1.2488000000303145E-2</c:v>
                </c:pt>
                <c:pt idx="8">
                  <c:v>2.6250999999319902E-2</c:v>
                </c:pt>
                <c:pt idx="9">
                  <c:v>-1.0920000022451859E-3</c:v>
                </c:pt>
                <c:pt idx="10">
                  <c:v>-2.1434999998746207E-2</c:v>
                </c:pt>
                <c:pt idx="11">
                  <c:v>-2.2695999999996275E-2</c:v>
                </c:pt>
                <c:pt idx="12">
                  <c:v>7.827499999984866E-2</c:v>
                </c:pt>
                <c:pt idx="13">
                  <c:v>8.2816000001912471E-2</c:v>
                </c:pt>
                <c:pt idx="14">
                  <c:v>9.3292999998084269E-2</c:v>
                </c:pt>
                <c:pt idx="15">
                  <c:v>8.0002999995485879E-2</c:v>
                </c:pt>
                <c:pt idx="16">
                  <c:v>7.507400000031339E-2</c:v>
                </c:pt>
                <c:pt idx="17">
                  <c:v>8.365800000319723E-2</c:v>
                </c:pt>
                <c:pt idx="18">
                  <c:v>8.1197999999858439E-2</c:v>
                </c:pt>
                <c:pt idx="19">
                  <c:v>7.8937000005680602E-2</c:v>
                </c:pt>
                <c:pt idx="20">
                  <c:v>7.3061000002780929E-2</c:v>
                </c:pt>
                <c:pt idx="21">
                  <c:v>7.4061000006622635E-2</c:v>
                </c:pt>
                <c:pt idx="22">
                  <c:v>7.7061000003595836E-2</c:v>
                </c:pt>
                <c:pt idx="23">
                  <c:v>7.9131999998935498E-2</c:v>
                </c:pt>
                <c:pt idx="27">
                  <c:v>9.2133000005560461E-2</c:v>
                </c:pt>
                <c:pt idx="38">
                  <c:v>9.606500000518281E-2</c:v>
                </c:pt>
                <c:pt idx="39">
                  <c:v>9.6213999997416977E-2</c:v>
                </c:pt>
                <c:pt idx="40">
                  <c:v>9.525500000017928E-2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50-4902-A096-2E009563D7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4">
                  <c:v>7.9675000000861473E-2</c:v>
                </c:pt>
                <c:pt idx="25">
                  <c:v>8.6106000002473593E-2</c:v>
                </c:pt>
                <c:pt idx="26">
                  <c:v>9.1004999994765967E-2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50-4902-A096-2E009563D7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8">
                  <c:v>9.3726999999489635E-2</c:v>
                </c:pt>
                <c:pt idx="29">
                  <c:v>9.5408000001043547E-2</c:v>
                </c:pt>
                <c:pt idx="30">
                  <c:v>9.6813999996811617E-2</c:v>
                </c:pt>
                <c:pt idx="31">
                  <c:v>9.7637999999278691E-2</c:v>
                </c:pt>
                <c:pt idx="32">
                  <c:v>9.6855999996478204E-2</c:v>
                </c:pt>
                <c:pt idx="33">
                  <c:v>9.6896000002743676E-2</c:v>
                </c:pt>
                <c:pt idx="34">
                  <c:v>9.5537000001058914E-2</c:v>
                </c:pt>
                <c:pt idx="35">
                  <c:v>9.5546999997168314E-2</c:v>
                </c:pt>
                <c:pt idx="36">
                  <c:v>9.5533000006980728E-2</c:v>
                </c:pt>
                <c:pt idx="37">
                  <c:v>9.5553000006475486E-2</c:v>
                </c:pt>
                <c:pt idx="41">
                  <c:v>9.5277000000351109E-2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50-4902-A096-2E009563D7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50-4902-A096-2E009563D7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50-4902-A096-2E009563D7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50-4902-A096-2E009563D7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7.344934446911093E-2</c:v>
                </c:pt>
                <c:pt idx="1">
                  <c:v>7.344934446911093E-2</c:v>
                </c:pt>
                <c:pt idx="2">
                  <c:v>7.4311961601501469E-2</c:v>
                </c:pt>
                <c:pt idx="3">
                  <c:v>7.4325741427897482E-2</c:v>
                </c:pt>
                <c:pt idx="4">
                  <c:v>7.4719844462823509E-2</c:v>
                </c:pt>
                <c:pt idx="5">
                  <c:v>7.5050560296327867E-2</c:v>
                </c:pt>
                <c:pt idx="6">
                  <c:v>7.5610021248006073E-2</c:v>
                </c:pt>
                <c:pt idx="7">
                  <c:v>7.6220008229803002E-2</c:v>
                </c:pt>
                <c:pt idx="8">
                  <c:v>7.624481191731583E-2</c:v>
                </c:pt>
                <c:pt idx="9">
                  <c:v>7.6245730572408896E-2</c:v>
                </c:pt>
                <c:pt idx="10">
                  <c:v>7.6246649227501961E-2</c:v>
                </c:pt>
                <c:pt idx="11">
                  <c:v>7.627145291501479E-2</c:v>
                </c:pt>
                <c:pt idx="12">
                  <c:v>8.913538018324127E-2</c:v>
                </c:pt>
                <c:pt idx="13">
                  <c:v>8.9147322699451137E-2</c:v>
                </c:pt>
                <c:pt idx="14">
                  <c:v>8.9387091678741801E-2</c:v>
                </c:pt>
                <c:pt idx="15">
                  <c:v>8.941465133153384E-2</c:v>
                </c:pt>
                <c:pt idx="16">
                  <c:v>8.9693003824733331E-2</c:v>
                </c:pt>
                <c:pt idx="17">
                  <c:v>8.9795893195156906E-2</c:v>
                </c:pt>
                <c:pt idx="18">
                  <c:v>8.9997997315631795E-2</c:v>
                </c:pt>
                <c:pt idx="19">
                  <c:v>9.0022801003144623E-2</c:v>
                </c:pt>
                <c:pt idx="20">
                  <c:v>9.0327794494043087E-2</c:v>
                </c:pt>
                <c:pt idx="21">
                  <c:v>9.0327794494043087E-2</c:v>
                </c:pt>
                <c:pt idx="22">
                  <c:v>9.0327794494043087E-2</c:v>
                </c:pt>
                <c:pt idx="23">
                  <c:v>9.0606146987242592E-2</c:v>
                </c:pt>
                <c:pt idx="24">
                  <c:v>9.1891345462444249E-2</c:v>
                </c:pt>
                <c:pt idx="25">
                  <c:v>9.3161845456156828E-2</c:v>
                </c:pt>
                <c:pt idx="26">
                  <c:v>9.3811334606955663E-2</c:v>
                </c:pt>
                <c:pt idx="27">
                  <c:v>9.4090605755248233E-2</c:v>
                </c:pt>
                <c:pt idx="28">
                  <c:v>9.4129189269157074E-2</c:v>
                </c:pt>
                <c:pt idx="29">
                  <c:v>9.4435101415148603E-2</c:v>
                </c:pt>
                <c:pt idx="30">
                  <c:v>9.476397993846683E-2</c:v>
                </c:pt>
                <c:pt idx="31">
                  <c:v>9.5068973429365294E-2</c:v>
                </c:pt>
                <c:pt idx="32">
                  <c:v>9.5412550434172599E-2</c:v>
                </c:pt>
                <c:pt idx="33">
                  <c:v>9.5412550434172599E-2</c:v>
                </c:pt>
                <c:pt idx="34">
                  <c:v>9.5718462580164129E-2</c:v>
                </c:pt>
                <c:pt idx="35">
                  <c:v>9.5718462580164129E-2</c:v>
                </c:pt>
                <c:pt idx="36">
                  <c:v>9.5744184922770023E-2</c:v>
                </c:pt>
                <c:pt idx="37">
                  <c:v>9.5744184922770023E-2</c:v>
                </c:pt>
                <c:pt idx="38">
                  <c:v>9.5997733728456699E-2</c:v>
                </c:pt>
                <c:pt idx="39">
                  <c:v>9.6050097068761553E-2</c:v>
                </c:pt>
                <c:pt idx="40">
                  <c:v>9.6062039584971434E-2</c:v>
                </c:pt>
                <c:pt idx="41">
                  <c:v>9.7298549340240514E-2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50-4902-A096-2E009563D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21064"/>
        <c:axId val="1"/>
      </c:scatterChart>
      <c:valAx>
        <c:axId val="613521064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521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56220038610876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V0761 Aql - O-C Diagr.</a:t>
            </a:r>
          </a:p>
        </c:rich>
      </c:tx>
      <c:layout>
        <c:manualLayout>
          <c:xMode val="edge"/>
          <c:yMode val="edge"/>
          <c:x val="0.3319587628865979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28865979381442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B3-4889-A19B-25469B23B1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-1.4999999999417923E-2</c:v>
                </c:pt>
                <c:pt idx="2">
                  <c:v>5.9230000006209593E-3</c:v>
                </c:pt>
                <c:pt idx="3">
                  <c:v>1.2778000000253087E-2</c:v>
                </c:pt>
                <c:pt idx="4">
                  <c:v>3.7630999999237247E-2</c:v>
                </c:pt>
                <c:pt idx="5">
                  <c:v>4.5150999998440966E-2</c:v>
                </c:pt>
                <c:pt idx="6">
                  <c:v>-2.7736000000004424E-2</c:v>
                </c:pt>
                <c:pt idx="7">
                  <c:v>-1.2488000000303145E-2</c:v>
                </c:pt>
                <c:pt idx="8">
                  <c:v>2.6250999999319902E-2</c:v>
                </c:pt>
                <c:pt idx="9">
                  <c:v>-1.0920000022451859E-3</c:v>
                </c:pt>
                <c:pt idx="10">
                  <c:v>-2.1434999998746207E-2</c:v>
                </c:pt>
                <c:pt idx="11">
                  <c:v>-2.2695999999996275E-2</c:v>
                </c:pt>
                <c:pt idx="12">
                  <c:v>7.827499999984866E-2</c:v>
                </c:pt>
                <c:pt idx="13">
                  <c:v>8.2816000001912471E-2</c:v>
                </c:pt>
                <c:pt idx="14">
                  <c:v>9.3292999998084269E-2</c:v>
                </c:pt>
                <c:pt idx="15">
                  <c:v>8.0002999995485879E-2</c:v>
                </c:pt>
                <c:pt idx="16">
                  <c:v>7.507400000031339E-2</c:v>
                </c:pt>
                <c:pt idx="17">
                  <c:v>8.365800000319723E-2</c:v>
                </c:pt>
                <c:pt idx="18">
                  <c:v>8.1197999999858439E-2</c:v>
                </c:pt>
                <c:pt idx="19">
                  <c:v>7.8937000005680602E-2</c:v>
                </c:pt>
                <c:pt idx="20">
                  <c:v>7.3061000002780929E-2</c:v>
                </c:pt>
                <c:pt idx="21">
                  <c:v>7.4061000006622635E-2</c:v>
                </c:pt>
                <c:pt idx="22">
                  <c:v>7.7061000003595836E-2</c:v>
                </c:pt>
                <c:pt idx="23">
                  <c:v>7.9131999998935498E-2</c:v>
                </c:pt>
                <c:pt idx="27">
                  <c:v>9.2133000005560461E-2</c:v>
                </c:pt>
                <c:pt idx="38">
                  <c:v>9.606500000518281E-2</c:v>
                </c:pt>
                <c:pt idx="39">
                  <c:v>9.6213999997416977E-2</c:v>
                </c:pt>
                <c:pt idx="40">
                  <c:v>9.525500000017928E-2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B3-4889-A19B-25469B23B1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4">
                  <c:v>7.9675000000861473E-2</c:v>
                </c:pt>
                <c:pt idx="25">
                  <c:v>8.6106000002473593E-2</c:v>
                </c:pt>
                <c:pt idx="26">
                  <c:v>9.1004999994765967E-2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B3-4889-A19B-25469B23B1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8">
                  <c:v>9.3726999999489635E-2</c:v>
                </c:pt>
                <c:pt idx="29">
                  <c:v>9.5408000001043547E-2</c:v>
                </c:pt>
                <c:pt idx="30">
                  <c:v>9.6813999996811617E-2</c:v>
                </c:pt>
                <c:pt idx="31">
                  <c:v>9.7637999999278691E-2</c:v>
                </c:pt>
                <c:pt idx="32">
                  <c:v>9.6855999996478204E-2</c:v>
                </c:pt>
                <c:pt idx="33">
                  <c:v>9.6896000002743676E-2</c:v>
                </c:pt>
                <c:pt idx="34">
                  <c:v>9.5537000001058914E-2</c:v>
                </c:pt>
                <c:pt idx="35">
                  <c:v>9.5546999997168314E-2</c:v>
                </c:pt>
                <c:pt idx="36">
                  <c:v>9.5533000006980728E-2</c:v>
                </c:pt>
                <c:pt idx="37">
                  <c:v>9.5553000006475486E-2</c:v>
                </c:pt>
                <c:pt idx="41">
                  <c:v>9.5277000000351109E-2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B3-4889-A19B-25469B23B1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B3-4889-A19B-25469B23B1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B3-4889-A19B-25469B23B1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5">
                    <c:v>1.2999999999999999E-3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4.8999999999999998E-3</c:v>
                  </c:pt>
                  <c:pt idx="29">
                    <c:v>4.7000000000000002E-3</c:v>
                  </c:pt>
                  <c:pt idx="30">
                    <c:v>2.5000000000000001E-3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2.9999999999999997E-4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2.9999999999999997E-4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B3-4889-A19B-25469B23B1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939</c:v>
                </c:pt>
                <c:pt idx="3">
                  <c:v>954</c:v>
                </c:pt>
                <c:pt idx="4">
                  <c:v>1383</c:v>
                </c:pt>
                <c:pt idx="5">
                  <c:v>1743</c:v>
                </c:pt>
                <c:pt idx="6">
                  <c:v>2352</c:v>
                </c:pt>
                <c:pt idx="7">
                  <c:v>3016</c:v>
                </c:pt>
                <c:pt idx="8">
                  <c:v>3043</c:v>
                </c:pt>
                <c:pt idx="9">
                  <c:v>3044</c:v>
                </c:pt>
                <c:pt idx="10">
                  <c:v>3045</c:v>
                </c:pt>
                <c:pt idx="11">
                  <c:v>3072</c:v>
                </c:pt>
                <c:pt idx="12">
                  <c:v>17075</c:v>
                </c:pt>
                <c:pt idx="13">
                  <c:v>17088</c:v>
                </c:pt>
                <c:pt idx="14">
                  <c:v>17349</c:v>
                </c:pt>
                <c:pt idx="15">
                  <c:v>17379</c:v>
                </c:pt>
                <c:pt idx="16">
                  <c:v>17682</c:v>
                </c:pt>
                <c:pt idx="17">
                  <c:v>17794</c:v>
                </c:pt>
                <c:pt idx="18">
                  <c:v>18014</c:v>
                </c:pt>
                <c:pt idx="19">
                  <c:v>18041</c:v>
                </c:pt>
                <c:pt idx="20">
                  <c:v>18373</c:v>
                </c:pt>
                <c:pt idx="21">
                  <c:v>18373</c:v>
                </c:pt>
                <c:pt idx="22">
                  <c:v>18373</c:v>
                </c:pt>
                <c:pt idx="23">
                  <c:v>18676</c:v>
                </c:pt>
                <c:pt idx="24">
                  <c:v>20075</c:v>
                </c:pt>
                <c:pt idx="25">
                  <c:v>21458</c:v>
                </c:pt>
                <c:pt idx="26">
                  <c:v>22165</c:v>
                </c:pt>
                <c:pt idx="27">
                  <c:v>22469</c:v>
                </c:pt>
                <c:pt idx="28">
                  <c:v>22511</c:v>
                </c:pt>
                <c:pt idx="29">
                  <c:v>22844</c:v>
                </c:pt>
                <c:pt idx="30">
                  <c:v>23202</c:v>
                </c:pt>
                <c:pt idx="31">
                  <c:v>23534</c:v>
                </c:pt>
                <c:pt idx="32">
                  <c:v>23908</c:v>
                </c:pt>
                <c:pt idx="33">
                  <c:v>23908</c:v>
                </c:pt>
                <c:pt idx="34">
                  <c:v>24241</c:v>
                </c:pt>
                <c:pt idx="35">
                  <c:v>24241</c:v>
                </c:pt>
                <c:pt idx="36">
                  <c:v>24269</c:v>
                </c:pt>
                <c:pt idx="37">
                  <c:v>24269</c:v>
                </c:pt>
                <c:pt idx="38">
                  <c:v>24545</c:v>
                </c:pt>
                <c:pt idx="39">
                  <c:v>24602</c:v>
                </c:pt>
                <c:pt idx="40">
                  <c:v>24615</c:v>
                </c:pt>
                <c:pt idx="41">
                  <c:v>25961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7.344934446911093E-2</c:v>
                </c:pt>
                <c:pt idx="1">
                  <c:v>7.344934446911093E-2</c:v>
                </c:pt>
                <c:pt idx="2">
                  <c:v>7.4311961601501469E-2</c:v>
                </c:pt>
                <c:pt idx="3">
                  <c:v>7.4325741427897482E-2</c:v>
                </c:pt>
                <c:pt idx="4">
                  <c:v>7.4719844462823509E-2</c:v>
                </c:pt>
                <c:pt idx="5">
                  <c:v>7.5050560296327867E-2</c:v>
                </c:pt>
                <c:pt idx="6">
                  <c:v>7.5610021248006073E-2</c:v>
                </c:pt>
                <c:pt idx="7">
                  <c:v>7.6220008229803002E-2</c:v>
                </c:pt>
                <c:pt idx="8">
                  <c:v>7.624481191731583E-2</c:v>
                </c:pt>
                <c:pt idx="9">
                  <c:v>7.6245730572408896E-2</c:v>
                </c:pt>
                <c:pt idx="10">
                  <c:v>7.6246649227501961E-2</c:v>
                </c:pt>
                <c:pt idx="11">
                  <c:v>7.627145291501479E-2</c:v>
                </c:pt>
                <c:pt idx="12">
                  <c:v>8.913538018324127E-2</c:v>
                </c:pt>
                <c:pt idx="13">
                  <c:v>8.9147322699451137E-2</c:v>
                </c:pt>
                <c:pt idx="14">
                  <c:v>8.9387091678741801E-2</c:v>
                </c:pt>
                <c:pt idx="15">
                  <c:v>8.941465133153384E-2</c:v>
                </c:pt>
                <c:pt idx="16">
                  <c:v>8.9693003824733331E-2</c:v>
                </c:pt>
                <c:pt idx="17">
                  <c:v>8.9795893195156906E-2</c:v>
                </c:pt>
                <c:pt idx="18">
                  <c:v>8.9997997315631795E-2</c:v>
                </c:pt>
                <c:pt idx="19">
                  <c:v>9.0022801003144623E-2</c:v>
                </c:pt>
                <c:pt idx="20">
                  <c:v>9.0327794494043087E-2</c:v>
                </c:pt>
                <c:pt idx="21">
                  <c:v>9.0327794494043087E-2</c:v>
                </c:pt>
                <c:pt idx="22">
                  <c:v>9.0327794494043087E-2</c:v>
                </c:pt>
                <c:pt idx="23">
                  <c:v>9.0606146987242592E-2</c:v>
                </c:pt>
                <c:pt idx="24">
                  <c:v>9.1891345462444249E-2</c:v>
                </c:pt>
                <c:pt idx="25">
                  <c:v>9.3161845456156828E-2</c:v>
                </c:pt>
                <c:pt idx="26">
                  <c:v>9.3811334606955663E-2</c:v>
                </c:pt>
                <c:pt idx="27">
                  <c:v>9.4090605755248233E-2</c:v>
                </c:pt>
                <c:pt idx="28">
                  <c:v>9.4129189269157074E-2</c:v>
                </c:pt>
                <c:pt idx="29">
                  <c:v>9.4435101415148603E-2</c:v>
                </c:pt>
                <c:pt idx="30">
                  <c:v>9.476397993846683E-2</c:v>
                </c:pt>
                <c:pt idx="31">
                  <c:v>9.5068973429365294E-2</c:v>
                </c:pt>
                <c:pt idx="32">
                  <c:v>9.5412550434172599E-2</c:v>
                </c:pt>
                <c:pt idx="33">
                  <c:v>9.5412550434172599E-2</c:v>
                </c:pt>
                <c:pt idx="34">
                  <c:v>9.5718462580164129E-2</c:v>
                </c:pt>
                <c:pt idx="35">
                  <c:v>9.5718462580164129E-2</c:v>
                </c:pt>
                <c:pt idx="36">
                  <c:v>9.5744184922770023E-2</c:v>
                </c:pt>
                <c:pt idx="37">
                  <c:v>9.5744184922770023E-2</c:v>
                </c:pt>
                <c:pt idx="38">
                  <c:v>9.5997733728456699E-2</c:v>
                </c:pt>
                <c:pt idx="39">
                  <c:v>9.6050097068761553E-2</c:v>
                </c:pt>
                <c:pt idx="40">
                  <c:v>9.6062039584971434E-2</c:v>
                </c:pt>
                <c:pt idx="41">
                  <c:v>9.7298549340240514E-2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B3-4889-A19B-25469B23B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332400"/>
        <c:axId val="1"/>
      </c:scatterChart>
      <c:valAx>
        <c:axId val="60233240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332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2680412371134"/>
          <c:y val="0.92024539877300615"/>
          <c:w val="0.837113402061855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47625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4CEA7BC-805F-856A-C0FB-73E21D31B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209550</xdr:colOff>
      <xdr:row>0</xdr:row>
      <xdr:rowOff>47625</xdr:rowOff>
    </xdr:from>
    <xdr:to>
      <xdr:col>27</xdr:col>
      <xdr:colOff>171450</xdr:colOff>
      <xdr:row>18</xdr:row>
      <xdr:rowOff>66675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506469AC-3FF1-7C53-67EF-816E37B04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8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741" TargetMode="External"/><Relationship Id="rId11" Type="http://schemas.openxmlformats.org/officeDocument/2006/relationships/hyperlink" Target="http://www.bav-astro.de/sfs/BAVM_link.php?BAVMnr=193" TargetMode="External"/><Relationship Id="rId5" Type="http://schemas.openxmlformats.org/officeDocument/2006/relationships/hyperlink" Target="http://www.konkoly.hu/cgi-bin/IBVS?5583" TargetMode="External"/><Relationship Id="rId10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218</v>
      </c>
    </row>
    <row r="2" spans="1:6" x14ac:dyDescent="0.2">
      <c r="A2" t="s">
        <v>24</v>
      </c>
      <c r="B2" s="9" t="s">
        <v>36</v>
      </c>
    </row>
    <row r="4" spans="1:6" ht="14.25" thickTop="1" thickBot="1" x14ac:dyDescent="0.25">
      <c r="A4" s="6" t="s">
        <v>0</v>
      </c>
      <c r="C4" s="2">
        <v>28067.342000000001</v>
      </c>
      <c r="D4" s="3">
        <v>1.0693429999999999</v>
      </c>
    </row>
    <row r="5" spans="1:6" ht="13.5" thickTop="1" x14ac:dyDescent="0.2">
      <c r="A5" s="11" t="s">
        <v>38</v>
      </c>
      <c r="B5" s="12"/>
      <c r="C5" s="13">
        <v>-9.5</v>
      </c>
      <c r="D5" s="12" t="s">
        <v>39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28067.342000000001</v>
      </c>
    </row>
    <row r="8" spans="1:6" x14ac:dyDescent="0.2">
      <c r="A8" t="s">
        <v>3</v>
      </c>
      <c r="C8">
        <f>+D4</f>
        <v>1.0693429999999999</v>
      </c>
    </row>
    <row r="9" spans="1:6" x14ac:dyDescent="0.2">
      <c r="A9" s="26" t="s">
        <v>44</v>
      </c>
      <c r="B9" s="27">
        <v>47</v>
      </c>
      <c r="C9" s="15" t="str">
        <f>"F"&amp;B9</f>
        <v>F47</v>
      </c>
      <c r="D9" s="16" t="str">
        <f>"G"&amp;B9</f>
        <v>G47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14">
        <f ca="1">INTERCEPT(INDIRECT($D$9):G992,INDIRECT($C$9):F992)</f>
        <v>7.344934446911093E-2</v>
      </c>
      <c r="D11" s="4"/>
      <c r="E11" s="12"/>
    </row>
    <row r="12" spans="1:6" x14ac:dyDescent="0.2">
      <c r="A12" s="12" t="s">
        <v>17</v>
      </c>
      <c r="B12" s="12"/>
      <c r="C12" s="14">
        <f ca="1">SLOPE(INDIRECT($D$9):G992,INDIRECT($C$9):F992)</f>
        <v>9.186550930676623E-7</v>
      </c>
      <c r="D12" s="4"/>
      <c r="E12" s="12"/>
    </row>
    <row r="13" spans="1:6" x14ac:dyDescent="0.2">
      <c r="A13" s="12" t="s">
        <v>19</v>
      </c>
      <c r="B13" s="12"/>
      <c r="C13" s="4" t="s">
        <v>14</v>
      </c>
    </row>
    <row r="14" spans="1:6" x14ac:dyDescent="0.2">
      <c r="A14" s="12"/>
      <c r="B14" s="12"/>
      <c r="C14" s="12"/>
    </row>
    <row r="15" spans="1:6" x14ac:dyDescent="0.2">
      <c r="A15" s="17" t="s">
        <v>18</v>
      </c>
      <c r="B15" s="12"/>
      <c r="C15" s="18">
        <f ca="1">(C7+C11)+(C8+C12)*INT(MAX(F21:F3533))</f>
        <v>55828.652921549336</v>
      </c>
      <c r="E15" s="19" t="s">
        <v>46</v>
      </c>
      <c r="F15" s="54">
        <v>1</v>
      </c>
    </row>
    <row r="16" spans="1:6" x14ac:dyDescent="0.2">
      <c r="A16" s="21" t="s">
        <v>4</v>
      </c>
      <c r="B16" s="12"/>
      <c r="C16" s="22">
        <f ca="1">+C8+C12</f>
        <v>1.069343918655093</v>
      </c>
      <c r="E16" s="19" t="s">
        <v>40</v>
      </c>
      <c r="F16" s="20">
        <f ca="1">NOW()+15018.5+$C$5/24</f>
        <v>60320.707778935182</v>
      </c>
    </row>
    <row r="17" spans="1:18" ht="13.5" thickBot="1" x14ac:dyDescent="0.25">
      <c r="A17" s="19" t="s">
        <v>37</v>
      </c>
      <c r="B17" s="12"/>
      <c r="C17" s="12">
        <f>COUNT(C21:C2191)</f>
        <v>42</v>
      </c>
      <c r="E17" s="19" t="s">
        <v>47</v>
      </c>
      <c r="F17" s="20">
        <f ca="1">ROUND(2*(F16-$C$7)/$C$8,0)/2+F15</f>
        <v>30163</v>
      </c>
    </row>
    <row r="18" spans="1:18" ht="14.25" thickTop="1" thickBot="1" x14ac:dyDescent="0.25">
      <c r="A18" s="21" t="s">
        <v>5</v>
      </c>
      <c r="B18" s="12"/>
      <c r="C18" s="24">
        <f ca="1">+C15</f>
        <v>55828.652921549336</v>
      </c>
      <c r="D18" s="25">
        <f ca="1">+C16</f>
        <v>1.069343918655093</v>
      </c>
      <c r="E18" s="19" t="s">
        <v>41</v>
      </c>
      <c r="F18" s="16">
        <f ca="1">ROUND(2*(F16-$C$15)/$C$16,0)/2+F15</f>
        <v>4202</v>
      </c>
    </row>
    <row r="19" spans="1:18" ht="13.5" thickTop="1" x14ac:dyDescent="0.2">
      <c r="E19" s="19" t="s">
        <v>42</v>
      </c>
      <c r="F19" s="23">
        <f ca="1">+$C$15+$C$16*F18-15018.5-$C$5/24</f>
        <v>45303.931901071373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56</v>
      </c>
      <c r="I20" s="8" t="s">
        <v>59</v>
      </c>
      <c r="J20" s="8" t="s">
        <v>53</v>
      </c>
      <c r="K20" s="8" t="s">
        <v>51</v>
      </c>
      <c r="L20" s="8" t="s">
        <v>215</v>
      </c>
      <c r="M20" s="8" t="s">
        <v>216</v>
      </c>
      <c r="N20" s="8" t="s">
        <v>217</v>
      </c>
      <c r="O20" s="8" t="s">
        <v>23</v>
      </c>
      <c r="P20" s="7" t="s">
        <v>22</v>
      </c>
      <c r="Q20" s="5" t="s">
        <v>15</v>
      </c>
    </row>
    <row r="21" spans="1:18" x14ac:dyDescent="0.2">
      <c r="A21" s="53" t="s">
        <v>65</v>
      </c>
      <c r="B21" s="33" t="s">
        <v>34</v>
      </c>
      <c r="C21" s="29">
        <v>28067.327000000001</v>
      </c>
      <c r="D21" s="29" t="s">
        <v>59</v>
      </c>
      <c r="E21" s="28">
        <f t="shared" ref="E21:E62" si="0">+(C21-C$7)/C$8</f>
        <v>-1.4027304615467558E-2</v>
      </c>
      <c r="F21" s="28">
        <f t="shared" ref="F21:F62" si="1">ROUND(2*E21,0)/2</f>
        <v>0</v>
      </c>
      <c r="G21" s="28">
        <f t="shared" ref="G21:G62" si="2">+C21-(C$7+F21*C$8)</f>
        <v>-1.4999999999417923E-2</v>
      </c>
      <c r="H21" s="28"/>
      <c r="I21" s="28">
        <f>G21</f>
        <v>-1.4999999999417923E-2</v>
      </c>
      <c r="K21" s="28"/>
      <c r="L21" s="28"/>
      <c r="M21" s="28"/>
      <c r="N21" s="28"/>
      <c r="O21" s="28">
        <f t="shared" ref="O21:O62" ca="1" si="3">+C$11+C$12*F21</f>
        <v>7.344934446911093E-2</v>
      </c>
      <c r="P21" s="28"/>
      <c r="Q21" s="30">
        <f t="shared" ref="Q21:Q62" si="4">+C21-15018.5</f>
        <v>13048.827000000001</v>
      </c>
      <c r="R21" s="28"/>
    </row>
    <row r="22" spans="1:18" x14ac:dyDescent="0.2">
      <c r="A22" s="28" t="s">
        <v>12</v>
      </c>
      <c r="B22" s="28"/>
      <c r="C22" s="29">
        <v>28067.342000000001</v>
      </c>
      <c r="D22" s="29" t="s">
        <v>14</v>
      </c>
      <c r="E22" s="28">
        <f t="shared" si="0"/>
        <v>0</v>
      </c>
      <c r="F22" s="28">
        <f t="shared" si="1"/>
        <v>0</v>
      </c>
      <c r="G22" s="28">
        <f t="shared" si="2"/>
        <v>0</v>
      </c>
      <c r="H22" s="28">
        <f>+G22</f>
        <v>0</v>
      </c>
      <c r="I22" s="28"/>
      <c r="J22" s="28"/>
      <c r="K22" s="28"/>
      <c r="L22" s="28"/>
      <c r="M22" s="28"/>
      <c r="N22" s="28"/>
      <c r="O22" s="28">
        <f t="shared" ca="1" si="3"/>
        <v>7.344934446911093E-2</v>
      </c>
      <c r="P22" s="28"/>
      <c r="Q22" s="30">
        <f t="shared" si="4"/>
        <v>13048.842000000001</v>
      </c>
      <c r="R22" s="28"/>
    </row>
    <row r="23" spans="1:18" x14ac:dyDescent="0.2">
      <c r="A23" s="53" t="s">
        <v>65</v>
      </c>
      <c r="B23" s="33" t="s">
        <v>34</v>
      </c>
      <c r="C23" s="29">
        <v>29071.460999999999</v>
      </c>
      <c r="D23" s="29" t="s">
        <v>59</v>
      </c>
      <c r="E23" s="28">
        <f t="shared" si="0"/>
        <v>939.00553891501499</v>
      </c>
      <c r="F23" s="28">
        <f t="shared" si="1"/>
        <v>939</v>
      </c>
      <c r="G23" s="28">
        <f t="shared" si="2"/>
        <v>5.9230000006209593E-3</v>
      </c>
      <c r="H23" s="28"/>
      <c r="I23" s="28">
        <f t="shared" ref="I23:I44" si="5">G23</f>
        <v>5.9230000006209593E-3</v>
      </c>
      <c r="K23" s="28"/>
      <c r="L23" s="28"/>
      <c r="M23" s="28"/>
      <c r="N23" s="28"/>
      <c r="O23" s="28">
        <f t="shared" ca="1" si="3"/>
        <v>7.4311961601501469E-2</v>
      </c>
      <c r="P23" s="28"/>
      <c r="Q23" s="30">
        <f t="shared" si="4"/>
        <v>14052.960999999999</v>
      </c>
      <c r="R23" s="28"/>
    </row>
    <row r="24" spans="1:18" x14ac:dyDescent="0.2">
      <c r="A24" s="53" t="s">
        <v>65</v>
      </c>
      <c r="B24" s="4" t="s">
        <v>34</v>
      </c>
      <c r="C24" s="40">
        <v>29087.508000000002</v>
      </c>
      <c r="D24" s="40" t="s">
        <v>59</v>
      </c>
      <c r="E24" s="28">
        <f t="shared" si="0"/>
        <v>954.01194939322659</v>
      </c>
      <c r="F24" s="28">
        <f t="shared" si="1"/>
        <v>954</v>
      </c>
      <c r="G24" s="28">
        <f t="shared" si="2"/>
        <v>1.2778000000253087E-2</v>
      </c>
      <c r="H24" s="28"/>
      <c r="I24" s="28">
        <f t="shared" si="5"/>
        <v>1.2778000000253087E-2</v>
      </c>
      <c r="K24" s="28"/>
      <c r="L24" s="28"/>
      <c r="M24" s="28"/>
      <c r="N24" s="28"/>
      <c r="O24" s="28">
        <f t="shared" ca="1" si="3"/>
        <v>7.4325741427897482E-2</v>
      </c>
      <c r="P24" s="28"/>
      <c r="Q24" s="30">
        <f t="shared" si="4"/>
        <v>14069.008000000002</v>
      </c>
    </row>
    <row r="25" spans="1:18" x14ac:dyDescent="0.2">
      <c r="A25" s="53" t="s">
        <v>65</v>
      </c>
      <c r="B25" s="4" t="s">
        <v>34</v>
      </c>
      <c r="C25" s="40">
        <v>29546.280999999999</v>
      </c>
      <c r="D25" s="40" t="s">
        <v>59</v>
      </c>
      <c r="E25" s="28">
        <f t="shared" si="0"/>
        <v>1383.0351907666657</v>
      </c>
      <c r="F25" s="28">
        <f t="shared" si="1"/>
        <v>1383</v>
      </c>
      <c r="G25" s="28">
        <f t="shared" si="2"/>
        <v>3.7630999999237247E-2</v>
      </c>
      <c r="H25" s="28"/>
      <c r="I25" s="28">
        <f t="shared" si="5"/>
        <v>3.7630999999237247E-2</v>
      </c>
      <c r="K25" s="28"/>
      <c r="L25" s="28"/>
      <c r="M25" s="28"/>
      <c r="N25" s="28"/>
      <c r="O25" s="28">
        <f t="shared" ca="1" si="3"/>
        <v>7.4719844462823509E-2</v>
      </c>
      <c r="P25" s="28"/>
      <c r="Q25" s="30">
        <f t="shared" si="4"/>
        <v>14527.780999999999</v>
      </c>
    </row>
    <row r="26" spans="1:18" x14ac:dyDescent="0.2">
      <c r="A26" s="53" t="s">
        <v>65</v>
      </c>
      <c r="B26" s="4" t="s">
        <v>34</v>
      </c>
      <c r="C26" s="40">
        <v>29931.252</v>
      </c>
      <c r="D26" s="40" t="s">
        <v>59</v>
      </c>
      <c r="E26" s="28">
        <f t="shared" si="0"/>
        <v>1743.0422231220477</v>
      </c>
      <c r="F26" s="28">
        <f t="shared" si="1"/>
        <v>1743</v>
      </c>
      <c r="G26" s="28">
        <f t="shared" si="2"/>
        <v>4.5150999998440966E-2</v>
      </c>
      <c r="H26" s="28"/>
      <c r="I26" s="28">
        <f t="shared" si="5"/>
        <v>4.5150999998440966E-2</v>
      </c>
      <c r="K26" s="28"/>
      <c r="L26" s="28"/>
      <c r="M26" s="28"/>
      <c r="N26" s="28"/>
      <c r="O26" s="28">
        <f t="shared" ca="1" si="3"/>
        <v>7.5050560296327867E-2</v>
      </c>
      <c r="P26" s="28"/>
      <c r="Q26" s="30">
        <f t="shared" si="4"/>
        <v>14912.752</v>
      </c>
    </row>
    <row r="27" spans="1:18" x14ac:dyDescent="0.2">
      <c r="A27" s="53" t="s">
        <v>65</v>
      </c>
      <c r="B27" s="4" t="s">
        <v>34</v>
      </c>
      <c r="C27" s="40">
        <v>30582.409</v>
      </c>
      <c r="D27" s="40" t="s">
        <v>59</v>
      </c>
      <c r="E27" s="28">
        <f t="shared" si="0"/>
        <v>2351.9740625786108</v>
      </c>
      <c r="F27" s="28">
        <f t="shared" si="1"/>
        <v>2352</v>
      </c>
      <c r="G27" s="28">
        <f t="shared" si="2"/>
        <v>-2.7736000000004424E-2</v>
      </c>
      <c r="H27" s="28"/>
      <c r="I27" s="28">
        <f t="shared" si="5"/>
        <v>-2.7736000000004424E-2</v>
      </c>
      <c r="K27" s="28"/>
      <c r="L27" s="28"/>
      <c r="M27" s="28"/>
      <c r="N27" s="28"/>
      <c r="O27" s="28">
        <f t="shared" ca="1" si="3"/>
        <v>7.5610021248006073E-2</v>
      </c>
      <c r="P27" s="28"/>
      <c r="Q27" s="30">
        <f t="shared" si="4"/>
        <v>15563.909</v>
      </c>
    </row>
    <row r="28" spans="1:18" x14ac:dyDescent="0.2">
      <c r="A28" s="53" t="s">
        <v>65</v>
      </c>
      <c r="B28" s="4" t="s">
        <v>34</v>
      </c>
      <c r="C28" s="40">
        <v>31292.468000000001</v>
      </c>
      <c r="D28" s="40" t="s">
        <v>59</v>
      </c>
      <c r="E28" s="28">
        <f t="shared" si="0"/>
        <v>3015.9883218013306</v>
      </c>
      <c r="F28" s="28">
        <f t="shared" si="1"/>
        <v>3016</v>
      </c>
      <c r="G28" s="28">
        <f t="shared" si="2"/>
        <v>-1.2488000000303145E-2</v>
      </c>
      <c r="H28" s="28"/>
      <c r="I28" s="28">
        <f t="shared" si="5"/>
        <v>-1.2488000000303145E-2</v>
      </c>
      <c r="K28" s="28"/>
      <c r="L28" s="28"/>
      <c r="M28" s="28"/>
      <c r="N28" s="28"/>
      <c r="O28" s="28">
        <f t="shared" ca="1" si="3"/>
        <v>7.6220008229803002E-2</v>
      </c>
      <c r="P28" s="28"/>
      <c r="Q28" s="30">
        <f t="shared" si="4"/>
        <v>16273.968000000001</v>
      </c>
    </row>
    <row r="29" spans="1:18" x14ac:dyDescent="0.2">
      <c r="A29" s="53" t="s">
        <v>65</v>
      </c>
      <c r="B29" s="4" t="s">
        <v>34</v>
      </c>
      <c r="C29" s="40">
        <v>31321.379000000001</v>
      </c>
      <c r="D29" s="40" t="s">
        <v>59</v>
      </c>
      <c r="E29" s="28">
        <f t="shared" si="0"/>
        <v>3043.0245487182319</v>
      </c>
      <c r="F29" s="28">
        <f t="shared" si="1"/>
        <v>3043</v>
      </c>
      <c r="G29" s="28">
        <f t="shared" si="2"/>
        <v>2.6250999999319902E-2</v>
      </c>
      <c r="H29" s="28"/>
      <c r="I29" s="28">
        <f t="shared" si="5"/>
        <v>2.6250999999319902E-2</v>
      </c>
      <c r="K29" s="28"/>
      <c r="L29" s="28"/>
      <c r="M29" s="28"/>
      <c r="N29" s="28"/>
      <c r="O29" s="28">
        <f t="shared" ca="1" si="3"/>
        <v>7.624481191731583E-2</v>
      </c>
      <c r="P29" s="28"/>
      <c r="Q29" s="30">
        <f t="shared" si="4"/>
        <v>16302.879000000001</v>
      </c>
    </row>
    <row r="30" spans="1:18" x14ac:dyDescent="0.2">
      <c r="A30" s="53" t="s">
        <v>65</v>
      </c>
      <c r="B30" s="4" t="s">
        <v>34</v>
      </c>
      <c r="C30" s="40">
        <v>31322.420999999998</v>
      </c>
      <c r="D30" s="40" t="s">
        <v>59</v>
      </c>
      <c r="E30" s="28">
        <f t="shared" si="0"/>
        <v>3043.998978812222</v>
      </c>
      <c r="F30" s="28">
        <f t="shared" si="1"/>
        <v>3044</v>
      </c>
      <c r="G30" s="28">
        <f t="shared" si="2"/>
        <v>-1.0920000022451859E-3</v>
      </c>
      <c r="H30" s="28"/>
      <c r="I30" s="28">
        <f t="shared" si="5"/>
        <v>-1.0920000022451859E-3</v>
      </c>
      <c r="K30" s="28"/>
      <c r="L30" s="28"/>
      <c r="M30" s="28"/>
      <c r="N30" s="28"/>
      <c r="O30" s="28">
        <f t="shared" ca="1" si="3"/>
        <v>7.6245730572408896E-2</v>
      </c>
      <c r="P30" s="28"/>
      <c r="Q30" s="30">
        <f t="shared" si="4"/>
        <v>16303.920999999998</v>
      </c>
    </row>
    <row r="31" spans="1:18" x14ac:dyDescent="0.2">
      <c r="A31" s="53" t="s">
        <v>65</v>
      </c>
      <c r="B31" s="4" t="s">
        <v>34</v>
      </c>
      <c r="C31" s="40">
        <v>31323.47</v>
      </c>
      <c r="D31" s="40" t="s">
        <v>59</v>
      </c>
      <c r="E31" s="28">
        <f t="shared" si="0"/>
        <v>3044.9799549817044</v>
      </c>
      <c r="F31" s="28">
        <f t="shared" si="1"/>
        <v>3045</v>
      </c>
      <c r="G31" s="28">
        <f t="shared" si="2"/>
        <v>-2.1434999998746207E-2</v>
      </c>
      <c r="H31" s="28"/>
      <c r="I31" s="28">
        <f t="shared" si="5"/>
        <v>-2.1434999998746207E-2</v>
      </c>
      <c r="K31" s="28"/>
      <c r="L31" s="28"/>
      <c r="M31" s="28"/>
      <c r="N31" s="28"/>
      <c r="O31" s="28">
        <f t="shared" ca="1" si="3"/>
        <v>7.6246649227501961E-2</v>
      </c>
      <c r="P31" s="28"/>
      <c r="Q31" s="30">
        <f t="shared" si="4"/>
        <v>16304.970000000001</v>
      </c>
    </row>
    <row r="32" spans="1:18" x14ac:dyDescent="0.2">
      <c r="A32" s="53" t="s">
        <v>65</v>
      </c>
      <c r="B32" s="4" t="s">
        <v>34</v>
      </c>
      <c r="C32" s="40">
        <v>31352.341</v>
      </c>
      <c r="D32" s="40" t="s">
        <v>59</v>
      </c>
      <c r="E32" s="28">
        <f t="shared" si="0"/>
        <v>3071.9787757529625</v>
      </c>
      <c r="F32" s="28">
        <f t="shared" si="1"/>
        <v>3072</v>
      </c>
      <c r="G32" s="28">
        <f t="shared" si="2"/>
        <v>-2.2695999999996275E-2</v>
      </c>
      <c r="H32" s="28"/>
      <c r="I32" s="28">
        <f t="shared" si="5"/>
        <v>-2.2695999999996275E-2</v>
      </c>
      <c r="K32" s="28"/>
      <c r="L32" s="28"/>
      <c r="M32" s="28"/>
      <c r="N32" s="28"/>
      <c r="O32" s="28">
        <f t="shared" ca="1" si="3"/>
        <v>7.627145291501479E-2</v>
      </c>
      <c r="P32" s="28"/>
      <c r="Q32" s="30">
        <f t="shared" si="4"/>
        <v>16333.841</v>
      </c>
    </row>
    <row r="33" spans="1:32" x14ac:dyDescent="0.2">
      <c r="A33" s="28" t="s">
        <v>26</v>
      </c>
      <c r="B33" s="28"/>
      <c r="C33" s="29">
        <v>46326.451999999997</v>
      </c>
      <c r="D33" s="29"/>
      <c r="E33" s="28">
        <f t="shared" si="0"/>
        <v>17075.073199151251</v>
      </c>
      <c r="F33" s="28">
        <f t="shared" si="1"/>
        <v>17075</v>
      </c>
      <c r="G33" s="28">
        <f t="shared" si="2"/>
        <v>7.827499999984866E-2</v>
      </c>
      <c r="H33" s="28"/>
      <c r="I33" s="28">
        <f t="shared" si="5"/>
        <v>7.827499999984866E-2</v>
      </c>
      <c r="J33" s="28"/>
      <c r="K33" s="28"/>
      <c r="L33" s="28"/>
      <c r="M33" s="28"/>
      <c r="N33" s="28"/>
      <c r="O33" s="28">
        <f t="shared" ca="1" si="3"/>
        <v>8.913538018324127E-2</v>
      </c>
      <c r="P33" s="28"/>
      <c r="Q33" s="30">
        <f t="shared" si="4"/>
        <v>31307.951999999997</v>
      </c>
      <c r="R33" s="28"/>
      <c r="AA33" s="4">
        <v>7</v>
      </c>
      <c r="AC33" t="s">
        <v>25</v>
      </c>
      <c r="AF33" t="s">
        <v>27</v>
      </c>
    </row>
    <row r="34" spans="1:32" x14ac:dyDescent="0.2">
      <c r="A34" s="53" t="s">
        <v>106</v>
      </c>
      <c r="B34" s="4" t="s">
        <v>34</v>
      </c>
      <c r="C34" s="40">
        <v>46340.358</v>
      </c>
      <c r="D34" s="40" t="s">
        <v>59</v>
      </c>
      <c r="E34" s="28">
        <f t="shared" si="0"/>
        <v>17088.077445683939</v>
      </c>
      <c r="F34" s="28">
        <f t="shared" si="1"/>
        <v>17088</v>
      </c>
      <c r="G34" s="28">
        <f t="shared" si="2"/>
        <v>8.2816000001912471E-2</v>
      </c>
      <c r="H34" s="28"/>
      <c r="I34" s="28">
        <f t="shared" si="5"/>
        <v>8.2816000001912471E-2</v>
      </c>
      <c r="K34" s="28"/>
      <c r="L34" s="28"/>
      <c r="M34" s="28"/>
      <c r="N34" s="28"/>
      <c r="O34" s="28">
        <f t="shared" ca="1" si="3"/>
        <v>8.9147322699451137E-2</v>
      </c>
      <c r="P34" s="28"/>
      <c r="Q34" s="30">
        <f t="shared" si="4"/>
        <v>31321.858</v>
      </c>
    </row>
    <row r="35" spans="1:32" x14ac:dyDescent="0.2">
      <c r="A35" s="53" t="s">
        <v>111</v>
      </c>
      <c r="B35" s="4" t="s">
        <v>34</v>
      </c>
      <c r="C35" s="40">
        <v>46619.466999999997</v>
      </c>
      <c r="D35" s="40" t="s">
        <v>59</v>
      </c>
      <c r="E35" s="28">
        <f t="shared" si="0"/>
        <v>17349.087243288635</v>
      </c>
      <c r="F35" s="28">
        <f t="shared" si="1"/>
        <v>17349</v>
      </c>
      <c r="G35" s="28">
        <f t="shared" si="2"/>
        <v>9.3292999998084269E-2</v>
      </c>
      <c r="H35" s="28"/>
      <c r="I35" s="28">
        <f t="shared" si="5"/>
        <v>9.3292999998084269E-2</v>
      </c>
      <c r="K35" s="28"/>
      <c r="L35" s="28"/>
      <c r="M35" s="28"/>
      <c r="N35" s="28"/>
      <c r="O35" s="28">
        <f t="shared" ca="1" si="3"/>
        <v>8.9387091678741801E-2</v>
      </c>
      <c r="P35" s="28"/>
      <c r="Q35" s="30">
        <f t="shared" si="4"/>
        <v>31600.966999999997</v>
      </c>
    </row>
    <row r="36" spans="1:32" x14ac:dyDescent="0.2">
      <c r="A36" s="28" t="s">
        <v>28</v>
      </c>
      <c r="B36" s="28"/>
      <c r="C36" s="29">
        <v>46651.534</v>
      </c>
      <c r="D36" s="29"/>
      <c r="E36" s="28">
        <f t="shared" si="0"/>
        <v>17379.074815096748</v>
      </c>
      <c r="F36" s="28">
        <f t="shared" si="1"/>
        <v>17379</v>
      </c>
      <c r="G36" s="28">
        <f t="shared" si="2"/>
        <v>8.0002999995485879E-2</v>
      </c>
      <c r="H36" s="28"/>
      <c r="I36" s="28">
        <f t="shared" si="5"/>
        <v>8.0002999995485879E-2</v>
      </c>
      <c r="J36" s="28"/>
      <c r="K36" s="28"/>
      <c r="L36" s="28"/>
      <c r="M36" s="28"/>
      <c r="N36" s="28"/>
      <c r="O36" s="28">
        <f t="shared" ca="1" si="3"/>
        <v>8.941465133153384E-2</v>
      </c>
      <c r="P36" s="28"/>
      <c r="Q36" s="30">
        <f t="shared" si="4"/>
        <v>31633.034</v>
      </c>
      <c r="R36" s="28"/>
      <c r="AA36" s="4">
        <v>4</v>
      </c>
      <c r="AC36" t="s">
        <v>25</v>
      </c>
      <c r="AF36" t="s">
        <v>27</v>
      </c>
    </row>
    <row r="37" spans="1:32" x14ac:dyDescent="0.2">
      <c r="A37" s="28" t="s">
        <v>29</v>
      </c>
      <c r="B37" s="28"/>
      <c r="C37" s="29">
        <v>46975.54</v>
      </c>
      <c r="D37" s="29"/>
      <c r="E37" s="28">
        <f t="shared" si="0"/>
        <v>17682.070205724453</v>
      </c>
      <c r="F37" s="28">
        <f t="shared" si="1"/>
        <v>17682</v>
      </c>
      <c r="G37" s="28">
        <f t="shared" si="2"/>
        <v>7.507400000031339E-2</v>
      </c>
      <c r="H37" s="28"/>
      <c r="I37" s="28">
        <f t="shared" si="5"/>
        <v>7.507400000031339E-2</v>
      </c>
      <c r="J37" s="28"/>
      <c r="K37" s="28"/>
      <c r="L37" s="28"/>
      <c r="M37" s="28"/>
      <c r="N37" s="28"/>
      <c r="O37" s="28">
        <f t="shared" ca="1" si="3"/>
        <v>8.9693003824733331E-2</v>
      </c>
      <c r="P37" s="28"/>
      <c r="Q37" s="30">
        <f t="shared" si="4"/>
        <v>31957.040000000001</v>
      </c>
      <c r="R37" s="28"/>
      <c r="AA37" s="4">
        <v>8</v>
      </c>
      <c r="AC37" t="s">
        <v>25</v>
      </c>
      <c r="AF37" t="s">
        <v>27</v>
      </c>
    </row>
    <row r="38" spans="1:32" x14ac:dyDescent="0.2">
      <c r="A38" s="53" t="s">
        <v>124</v>
      </c>
      <c r="B38" s="4" t="s">
        <v>34</v>
      </c>
      <c r="C38" s="40">
        <v>47095.315000000002</v>
      </c>
      <c r="D38" s="40" t="s">
        <v>59</v>
      </c>
      <c r="E38" s="28">
        <f t="shared" si="0"/>
        <v>17794.078233083306</v>
      </c>
      <c r="F38" s="28">
        <f t="shared" si="1"/>
        <v>17794</v>
      </c>
      <c r="G38" s="28">
        <f t="shared" si="2"/>
        <v>8.365800000319723E-2</v>
      </c>
      <c r="H38" s="28"/>
      <c r="I38" s="28">
        <f t="shared" si="5"/>
        <v>8.365800000319723E-2</v>
      </c>
      <c r="K38" s="28"/>
      <c r="L38" s="28"/>
      <c r="M38" s="28"/>
      <c r="N38" s="28"/>
      <c r="O38" s="28">
        <f t="shared" ca="1" si="3"/>
        <v>8.9795893195156906E-2</v>
      </c>
      <c r="P38" s="28"/>
      <c r="Q38" s="30">
        <f t="shared" si="4"/>
        <v>32076.815000000002</v>
      </c>
    </row>
    <row r="39" spans="1:32" x14ac:dyDescent="0.2">
      <c r="A39" s="28" t="s">
        <v>30</v>
      </c>
      <c r="B39" s="28"/>
      <c r="C39" s="29">
        <v>47330.567999999999</v>
      </c>
      <c r="D39" s="29"/>
      <c r="E39" s="28">
        <f t="shared" si="0"/>
        <v>18014.075932605348</v>
      </c>
      <c r="F39" s="28">
        <f t="shared" si="1"/>
        <v>18014</v>
      </c>
      <c r="G39" s="28">
        <f t="shared" si="2"/>
        <v>8.1197999999858439E-2</v>
      </c>
      <c r="H39" s="28"/>
      <c r="I39" s="28">
        <f t="shared" si="5"/>
        <v>8.1197999999858439E-2</v>
      </c>
      <c r="J39" s="28"/>
      <c r="K39" s="28"/>
      <c r="L39" s="28"/>
      <c r="M39" s="28"/>
      <c r="N39" s="28"/>
      <c r="O39" s="28">
        <f t="shared" ca="1" si="3"/>
        <v>8.9997997315631795E-2</v>
      </c>
      <c r="P39" s="28"/>
      <c r="Q39" s="30">
        <f t="shared" si="4"/>
        <v>32312.067999999999</v>
      </c>
      <c r="R39" s="28"/>
      <c r="AA39" s="4">
        <v>6</v>
      </c>
      <c r="AC39" t="s">
        <v>25</v>
      </c>
      <c r="AF39" t="s">
        <v>27</v>
      </c>
    </row>
    <row r="40" spans="1:32" x14ac:dyDescent="0.2">
      <c r="A40" s="53" t="s">
        <v>124</v>
      </c>
      <c r="B40" s="4" t="s">
        <v>34</v>
      </c>
      <c r="C40" s="40">
        <v>47359.438000000002</v>
      </c>
      <c r="D40" s="40" t="s">
        <v>59</v>
      </c>
      <c r="E40" s="28">
        <f t="shared" si="0"/>
        <v>18041.073818222969</v>
      </c>
      <c r="F40" s="28">
        <f t="shared" si="1"/>
        <v>18041</v>
      </c>
      <c r="G40" s="28">
        <f t="shared" si="2"/>
        <v>7.8937000005680602E-2</v>
      </c>
      <c r="H40" s="28"/>
      <c r="I40" s="28">
        <f t="shared" si="5"/>
        <v>7.8937000005680602E-2</v>
      </c>
      <c r="K40" s="28"/>
      <c r="L40" s="28"/>
      <c r="M40" s="28"/>
      <c r="N40" s="28"/>
      <c r="O40" s="28">
        <f t="shared" ca="1" si="3"/>
        <v>9.0022801003144623E-2</v>
      </c>
      <c r="P40" s="28"/>
      <c r="Q40" s="30">
        <f t="shared" si="4"/>
        <v>32340.938000000002</v>
      </c>
    </row>
    <row r="41" spans="1:32" x14ac:dyDescent="0.2">
      <c r="A41" s="53" t="s">
        <v>124</v>
      </c>
      <c r="B41" s="4" t="s">
        <v>34</v>
      </c>
      <c r="C41" s="40">
        <v>47714.453999999998</v>
      </c>
      <c r="D41" s="40" t="s">
        <v>59</v>
      </c>
      <c r="E41" s="28">
        <f t="shared" si="0"/>
        <v>18373.06832326017</v>
      </c>
      <c r="F41" s="28">
        <f t="shared" si="1"/>
        <v>18373</v>
      </c>
      <c r="G41" s="28">
        <f t="shared" si="2"/>
        <v>7.3061000002780929E-2</v>
      </c>
      <c r="H41" s="28"/>
      <c r="I41" s="28">
        <f t="shared" si="5"/>
        <v>7.3061000002780929E-2</v>
      </c>
      <c r="K41" s="28"/>
      <c r="L41" s="28"/>
      <c r="M41" s="28"/>
      <c r="N41" s="28"/>
      <c r="O41" s="28">
        <f t="shared" ca="1" si="3"/>
        <v>9.0327794494043087E-2</v>
      </c>
      <c r="P41" s="28"/>
      <c r="Q41" s="30">
        <f t="shared" si="4"/>
        <v>32695.953999999998</v>
      </c>
    </row>
    <row r="42" spans="1:32" x14ac:dyDescent="0.2">
      <c r="A42" s="53" t="s">
        <v>124</v>
      </c>
      <c r="B42" s="4" t="s">
        <v>34</v>
      </c>
      <c r="C42" s="40">
        <v>47714.455000000002</v>
      </c>
      <c r="D42" s="40" t="s">
        <v>59</v>
      </c>
      <c r="E42" s="28">
        <f t="shared" si="0"/>
        <v>18373.069258413812</v>
      </c>
      <c r="F42" s="28">
        <f t="shared" si="1"/>
        <v>18373</v>
      </c>
      <c r="G42" s="28">
        <f t="shared" si="2"/>
        <v>7.4061000006622635E-2</v>
      </c>
      <c r="H42" s="28"/>
      <c r="I42" s="28">
        <f t="shared" si="5"/>
        <v>7.4061000006622635E-2</v>
      </c>
      <c r="K42" s="28"/>
      <c r="L42" s="28"/>
      <c r="M42" s="28"/>
      <c r="N42" s="28"/>
      <c r="O42" s="28">
        <f t="shared" ca="1" si="3"/>
        <v>9.0327794494043087E-2</v>
      </c>
      <c r="P42" s="28"/>
      <c r="Q42" s="30">
        <f t="shared" si="4"/>
        <v>32695.955000000002</v>
      </c>
    </row>
    <row r="43" spans="1:32" x14ac:dyDescent="0.2">
      <c r="A43" s="53" t="s">
        <v>124</v>
      </c>
      <c r="B43" s="4" t="s">
        <v>34</v>
      </c>
      <c r="C43" s="40">
        <v>47714.457999999999</v>
      </c>
      <c r="D43" s="40" t="s">
        <v>59</v>
      </c>
      <c r="E43" s="28">
        <f t="shared" si="0"/>
        <v>18373.072063874733</v>
      </c>
      <c r="F43" s="28">
        <f t="shared" si="1"/>
        <v>18373</v>
      </c>
      <c r="G43" s="28">
        <f t="shared" si="2"/>
        <v>7.7061000003595836E-2</v>
      </c>
      <c r="H43" s="28"/>
      <c r="I43" s="28">
        <f t="shared" si="5"/>
        <v>7.7061000003595836E-2</v>
      </c>
      <c r="K43" s="28"/>
      <c r="L43" s="28"/>
      <c r="M43" s="28"/>
      <c r="N43" s="28"/>
      <c r="O43" s="28">
        <f t="shared" ca="1" si="3"/>
        <v>9.0327794494043087E-2</v>
      </c>
      <c r="P43" s="28"/>
      <c r="Q43" s="30">
        <f t="shared" si="4"/>
        <v>32695.957999999999</v>
      </c>
    </row>
    <row r="44" spans="1:32" x14ac:dyDescent="0.2">
      <c r="A44" s="53" t="s">
        <v>145</v>
      </c>
      <c r="B44" s="4" t="s">
        <v>34</v>
      </c>
      <c r="C44" s="40">
        <v>48038.470999999998</v>
      </c>
      <c r="D44" s="40" t="s">
        <v>59</v>
      </c>
      <c r="E44" s="28">
        <f t="shared" si="0"/>
        <v>18676.074000577923</v>
      </c>
      <c r="F44" s="28">
        <f t="shared" si="1"/>
        <v>18676</v>
      </c>
      <c r="G44" s="28">
        <f t="shared" si="2"/>
        <v>7.9131999998935498E-2</v>
      </c>
      <c r="H44" s="28"/>
      <c r="I44" s="28">
        <f t="shared" si="5"/>
        <v>7.9131999998935498E-2</v>
      </c>
      <c r="K44" s="28"/>
      <c r="L44" s="28"/>
      <c r="M44" s="28"/>
      <c r="N44" s="28"/>
      <c r="O44" s="28">
        <f t="shared" ca="1" si="3"/>
        <v>9.0606146987242592E-2</v>
      </c>
      <c r="P44" s="28"/>
      <c r="Q44" s="30">
        <f t="shared" si="4"/>
        <v>33019.970999999998</v>
      </c>
    </row>
    <row r="45" spans="1:32" x14ac:dyDescent="0.2">
      <c r="A45" s="28" t="s">
        <v>33</v>
      </c>
      <c r="B45" s="28"/>
      <c r="C45" s="29">
        <v>49534.482400000001</v>
      </c>
      <c r="D45" s="29"/>
      <c r="E45" s="28">
        <f t="shared" si="0"/>
        <v>20075.074508366353</v>
      </c>
      <c r="F45" s="28">
        <f t="shared" si="1"/>
        <v>20075</v>
      </c>
      <c r="G45" s="28">
        <f t="shared" si="2"/>
        <v>7.9675000000861473E-2</v>
      </c>
      <c r="H45" s="28"/>
      <c r="I45" s="28"/>
      <c r="J45" s="28">
        <f>G45</f>
        <v>7.9675000000861473E-2</v>
      </c>
      <c r="K45" s="28"/>
      <c r="L45" s="28"/>
      <c r="M45" s="28"/>
      <c r="N45" s="28"/>
      <c r="O45" s="28">
        <f t="shared" ca="1" si="3"/>
        <v>9.1891345462444249E-2</v>
      </c>
      <c r="P45" s="28"/>
      <c r="Q45" s="30">
        <f t="shared" si="4"/>
        <v>34515.982400000001</v>
      </c>
      <c r="R45" s="28"/>
    </row>
    <row r="46" spans="1:32" x14ac:dyDescent="0.2">
      <c r="A46" s="28" t="s">
        <v>32</v>
      </c>
      <c r="B46" s="28"/>
      <c r="C46" s="29">
        <v>51013.390200000002</v>
      </c>
      <c r="D46" s="29">
        <v>1.2999999999999999E-3</v>
      </c>
      <c r="E46" s="28">
        <f t="shared" si="0"/>
        <v>21458.08052233942</v>
      </c>
      <c r="F46" s="28">
        <f t="shared" si="1"/>
        <v>21458</v>
      </c>
      <c r="G46" s="28">
        <f t="shared" si="2"/>
        <v>8.6106000002473593E-2</v>
      </c>
      <c r="H46" s="28"/>
      <c r="J46" s="28">
        <f>G46</f>
        <v>8.6106000002473593E-2</v>
      </c>
      <c r="K46" s="28"/>
      <c r="L46" s="28"/>
      <c r="M46" s="28"/>
      <c r="N46" s="28"/>
      <c r="O46" s="28">
        <f t="shared" ca="1" si="3"/>
        <v>9.3161845456156828E-2</v>
      </c>
      <c r="P46" s="28"/>
      <c r="Q46" s="30">
        <f t="shared" si="4"/>
        <v>35994.890200000002</v>
      </c>
      <c r="R46" s="28"/>
      <c r="AA46" s="4">
        <v>17</v>
      </c>
      <c r="AC46" t="s">
        <v>31</v>
      </c>
      <c r="AF46" t="s">
        <v>27</v>
      </c>
    </row>
    <row r="47" spans="1:32" x14ac:dyDescent="0.2">
      <c r="A47" s="53" t="s">
        <v>163</v>
      </c>
      <c r="B47" s="4" t="s">
        <v>34</v>
      </c>
      <c r="C47" s="40">
        <v>51769.420599999998</v>
      </c>
      <c r="D47" s="40" t="s">
        <v>59</v>
      </c>
      <c r="E47" s="28">
        <f t="shared" si="0"/>
        <v>22165.085103657104</v>
      </c>
      <c r="F47" s="28">
        <f t="shared" si="1"/>
        <v>22165</v>
      </c>
      <c r="G47" s="28">
        <f t="shared" si="2"/>
        <v>9.1004999994765967E-2</v>
      </c>
      <c r="H47" s="28"/>
      <c r="I47" s="28"/>
      <c r="J47" s="28">
        <f>G47</f>
        <v>9.1004999994765967E-2</v>
      </c>
      <c r="K47" s="28"/>
      <c r="L47" s="28"/>
      <c r="M47" s="28"/>
      <c r="N47" s="28"/>
      <c r="O47" s="28">
        <f t="shared" ca="1" si="3"/>
        <v>9.3811334606955663E-2</v>
      </c>
      <c r="P47" s="28"/>
      <c r="Q47" s="30">
        <f t="shared" si="4"/>
        <v>36750.920599999998</v>
      </c>
    </row>
    <row r="48" spans="1:32" x14ac:dyDescent="0.2">
      <c r="A48" s="53" t="s">
        <v>167</v>
      </c>
      <c r="B48" s="4" t="s">
        <v>34</v>
      </c>
      <c r="C48" s="40">
        <v>52094.502</v>
      </c>
      <c r="D48" s="40" t="s">
        <v>59</v>
      </c>
      <c r="E48" s="28">
        <f t="shared" si="0"/>
        <v>22469.086158510414</v>
      </c>
      <c r="F48" s="28">
        <f t="shared" si="1"/>
        <v>22469</v>
      </c>
      <c r="G48" s="28">
        <f t="shared" si="2"/>
        <v>9.2133000005560461E-2</v>
      </c>
      <c r="H48" s="28"/>
      <c r="I48" s="28">
        <f>G48</f>
        <v>9.2133000005560461E-2</v>
      </c>
      <c r="K48" s="28"/>
      <c r="L48" s="28"/>
      <c r="M48" s="28"/>
      <c r="N48" s="28"/>
      <c r="O48" s="28">
        <f t="shared" ca="1" si="3"/>
        <v>9.4090605755248233E-2</v>
      </c>
      <c r="P48" s="28"/>
      <c r="Q48" s="30">
        <f t="shared" si="4"/>
        <v>37076.002</v>
      </c>
    </row>
    <row r="49" spans="1:18" x14ac:dyDescent="0.2">
      <c r="A49" s="28" t="s">
        <v>35</v>
      </c>
      <c r="B49" s="31" t="s">
        <v>34</v>
      </c>
      <c r="C49" s="32">
        <v>52139.415999999997</v>
      </c>
      <c r="D49" s="32">
        <v>4.8999999999999998E-3</v>
      </c>
      <c r="E49" s="28">
        <f t="shared" si="0"/>
        <v>22511.087649145316</v>
      </c>
      <c r="F49" s="28">
        <f t="shared" si="1"/>
        <v>22511</v>
      </c>
      <c r="G49" s="28">
        <f t="shared" si="2"/>
        <v>9.3726999999489635E-2</v>
      </c>
      <c r="H49" s="28"/>
      <c r="I49" s="28"/>
      <c r="K49" s="28">
        <f t="shared" ref="K49:K58" si="6">G49</f>
        <v>9.3726999999489635E-2</v>
      </c>
      <c r="L49" s="28"/>
      <c r="M49" s="28"/>
      <c r="N49" s="28"/>
      <c r="O49" s="28">
        <f t="shared" ca="1" si="3"/>
        <v>9.4129189269157074E-2</v>
      </c>
      <c r="P49" s="28"/>
      <c r="Q49" s="30">
        <f t="shared" si="4"/>
        <v>37120.915999999997</v>
      </c>
      <c r="R49" s="28"/>
    </row>
    <row r="50" spans="1:18" x14ac:dyDescent="0.2">
      <c r="A50" s="28" t="s">
        <v>35</v>
      </c>
      <c r="B50" s="31" t="s">
        <v>34</v>
      </c>
      <c r="C50" s="32">
        <v>52495.508900000001</v>
      </c>
      <c r="D50" s="32">
        <v>4.7000000000000002E-3</v>
      </c>
      <c r="E50" s="28">
        <f t="shared" si="0"/>
        <v>22844.089221138587</v>
      </c>
      <c r="F50" s="28">
        <f t="shared" si="1"/>
        <v>22844</v>
      </c>
      <c r="G50" s="28">
        <f t="shared" si="2"/>
        <v>9.5408000001043547E-2</v>
      </c>
      <c r="H50" s="28"/>
      <c r="I50" s="28"/>
      <c r="K50" s="28">
        <f t="shared" si="6"/>
        <v>9.5408000001043547E-2</v>
      </c>
      <c r="L50" s="28"/>
      <c r="M50" s="28"/>
      <c r="N50" s="28"/>
      <c r="O50" s="28">
        <f t="shared" ca="1" si="3"/>
        <v>9.4435101415148603E-2</v>
      </c>
      <c r="P50" s="28"/>
      <c r="Q50" s="30">
        <f t="shared" si="4"/>
        <v>37477.008900000001</v>
      </c>
      <c r="R50" s="28"/>
    </row>
    <row r="51" spans="1:18" x14ac:dyDescent="0.2">
      <c r="A51" s="28" t="s">
        <v>35</v>
      </c>
      <c r="B51" s="31" t="s">
        <v>34</v>
      </c>
      <c r="C51" s="32">
        <v>52878.335099999997</v>
      </c>
      <c r="D51" s="32">
        <v>2.5000000000000001E-3</v>
      </c>
      <c r="E51" s="28">
        <f t="shared" si="0"/>
        <v>23202.090535964606</v>
      </c>
      <c r="F51" s="28">
        <f t="shared" si="1"/>
        <v>23202</v>
      </c>
      <c r="G51" s="28">
        <f t="shared" si="2"/>
        <v>9.6813999996811617E-2</v>
      </c>
      <c r="H51" s="28"/>
      <c r="I51" s="28"/>
      <c r="K51" s="28">
        <f t="shared" si="6"/>
        <v>9.6813999996811617E-2</v>
      </c>
      <c r="L51" s="28"/>
      <c r="M51" s="28"/>
      <c r="N51" s="28"/>
      <c r="O51" s="28">
        <f t="shared" ca="1" si="3"/>
        <v>9.476397993846683E-2</v>
      </c>
      <c r="P51" s="28"/>
      <c r="Q51" s="30">
        <f t="shared" si="4"/>
        <v>37859.835099999997</v>
      </c>
      <c r="R51" s="28"/>
    </row>
    <row r="52" spans="1:18" x14ac:dyDescent="0.2">
      <c r="A52" s="10" t="s">
        <v>43</v>
      </c>
      <c r="B52" s="31" t="s">
        <v>34</v>
      </c>
      <c r="C52" s="32">
        <v>53233.357799999998</v>
      </c>
      <c r="D52" s="32">
        <v>2.0000000000000001E-4</v>
      </c>
      <c r="E52" s="28">
        <f t="shared" si="0"/>
        <v>23534.091306531205</v>
      </c>
      <c r="F52" s="28">
        <f t="shared" si="1"/>
        <v>23534</v>
      </c>
      <c r="G52" s="28">
        <f t="shared" si="2"/>
        <v>9.7637999999278691E-2</v>
      </c>
      <c r="H52" s="28"/>
      <c r="I52" s="28"/>
      <c r="K52" s="28">
        <f t="shared" si="6"/>
        <v>9.7637999999278691E-2</v>
      </c>
      <c r="L52" s="28"/>
      <c r="M52" s="28"/>
      <c r="N52" s="28"/>
      <c r="O52" s="28">
        <f t="shared" ca="1" si="3"/>
        <v>9.5068973429365294E-2</v>
      </c>
      <c r="P52" s="28"/>
      <c r="Q52" s="30">
        <f t="shared" si="4"/>
        <v>38214.857799999998</v>
      </c>
      <c r="R52" s="28"/>
    </row>
    <row r="53" spans="1:18" x14ac:dyDescent="0.2">
      <c r="A53" s="53" t="s">
        <v>190</v>
      </c>
      <c r="B53" s="4" t="s">
        <v>34</v>
      </c>
      <c r="C53" s="40">
        <v>53633.291299999997</v>
      </c>
      <c r="D53" s="40" t="s">
        <v>59</v>
      </c>
      <c r="E53" s="28">
        <f t="shared" si="0"/>
        <v>23908.090575241058</v>
      </c>
      <c r="F53" s="28">
        <f t="shared" si="1"/>
        <v>23908</v>
      </c>
      <c r="G53" s="28">
        <f t="shared" si="2"/>
        <v>9.6855999996478204E-2</v>
      </c>
      <c r="H53" s="28"/>
      <c r="I53" s="28"/>
      <c r="K53" s="28">
        <f t="shared" si="6"/>
        <v>9.6855999996478204E-2</v>
      </c>
      <c r="L53" s="28"/>
      <c r="M53" s="28"/>
      <c r="N53" s="28"/>
      <c r="O53" s="28">
        <f t="shared" ca="1" si="3"/>
        <v>9.5412550434172599E-2</v>
      </c>
      <c r="P53" s="28"/>
      <c r="Q53" s="30">
        <f t="shared" si="4"/>
        <v>38614.791299999997</v>
      </c>
      <c r="R53" s="28"/>
    </row>
    <row r="54" spans="1:18" x14ac:dyDescent="0.2">
      <c r="A54" s="34" t="s">
        <v>45</v>
      </c>
      <c r="B54" s="35" t="s">
        <v>34</v>
      </c>
      <c r="C54" s="36">
        <v>53633.291340000003</v>
      </c>
      <c r="D54" s="36">
        <v>2.9999999999999997E-4</v>
      </c>
      <c r="E54" s="28">
        <f t="shared" si="0"/>
        <v>23908.090612647207</v>
      </c>
      <c r="F54" s="28">
        <f t="shared" si="1"/>
        <v>23908</v>
      </c>
      <c r="G54" s="28">
        <f t="shared" si="2"/>
        <v>9.6896000002743676E-2</v>
      </c>
      <c r="H54" s="28"/>
      <c r="I54" s="28"/>
      <c r="K54" s="28">
        <f t="shared" si="6"/>
        <v>9.6896000002743676E-2</v>
      </c>
      <c r="L54" s="28"/>
      <c r="M54" s="28"/>
      <c r="O54" s="28">
        <f t="shared" ca="1" si="3"/>
        <v>9.5412550434172599E-2</v>
      </c>
      <c r="P54" s="28"/>
      <c r="Q54" s="30">
        <f t="shared" si="4"/>
        <v>38614.791340000003</v>
      </c>
      <c r="R54" s="28"/>
    </row>
    <row r="55" spans="1:18" x14ac:dyDescent="0.2">
      <c r="A55" s="53" t="s">
        <v>190</v>
      </c>
      <c r="B55" s="4" t="s">
        <v>34</v>
      </c>
      <c r="C55" s="40">
        <v>53989.381200000003</v>
      </c>
      <c r="D55" s="40" t="s">
        <v>59</v>
      </c>
      <c r="E55" s="28">
        <f t="shared" si="0"/>
        <v>24241.089341773411</v>
      </c>
      <c r="F55" s="28">
        <f t="shared" si="1"/>
        <v>24241</v>
      </c>
      <c r="G55" s="28">
        <f t="shared" si="2"/>
        <v>9.5537000001058914E-2</v>
      </c>
      <c r="H55" s="28"/>
      <c r="I55" s="28"/>
      <c r="K55" s="28">
        <f t="shared" si="6"/>
        <v>9.5537000001058914E-2</v>
      </c>
      <c r="L55" s="28"/>
      <c r="M55" s="28"/>
      <c r="N55" s="28"/>
      <c r="O55" s="28">
        <f t="shared" ca="1" si="3"/>
        <v>9.5718462580164129E-2</v>
      </c>
      <c r="P55" s="28"/>
      <c r="Q55" s="30">
        <f t="shared" si="4"/>
        <v>38970.881200000003</v>
      </c>
      <c r="R55" s="28"/>
    </row>
    <row r="56" spans="1:18" x14ac:dyDescent="0.2">
      <c r="A56" s="34" t="s">
        <v>45</v>
      </c>
      <c r="B56" s="35" t="s">
        <v>34</v>
      </c>
      <c r="C56" s="36">
        <v>53989.38121</v>
      </c>
      <c r="D56" s="36">
        <v>2.9999999999999997E-4</v>
      </c>
      <c r="E56" s="28">
        <f t="shared" si="0"/>
        <v>24241.089351124945</v>
      </c>
      <c r="F56" s="28">
        <f t="shared" si="1"/>
        <v>24241</v>
      </c>
      <c r="G56" s="28">
        <f t="shared" si="2"/>
        <v>9.5546999997168314E-2</v>
      </c>
      <c r="H56" s="28"/>
      <c r="I56" s="28"/>
      <c r="K56" s="28">
        <f t="shared" si="6"/>
        <v>9.5546999997168314E-2</v>
      </c>
      <c r="L56" s="28"/>
      <c r="M56" s="28"/>
      <c r="O56" s="28">
        <f t="shared" ca="1" si="3"/>
        <v>9.5718462580164129E-2</v>
      </c>
      <c r="P56" s="28"/>
      <c r="Q56" s="30">
        <f t="shared" si="4"/>
        <v>38970.88121</v>
      </c>
      <c r="R56" s="28"/>
    </row>
    <row r="57" spans="1:18" x14ac:dyDescent="0.2">
      <c r="A57" s="53" t="s">
        <v>190</v>
      </c>
      <c r="B57" s="4" t="s">
        <v>34</v>
      </c>
      <c r="C57" s="40">
        <v>54019.322800000002</v>
      </c>
      <c r="D57" s="40" t="s">
        <v>59</v>
      </c>
      <c r="E57" s="28">
        <f t="shared" si="0"/>
        <v>24269.089338032794</v>
      </c>
      <c r="F57" s="28">
        <f t="shared" si="1"/>
        <v>24269</v>
      </c>
      <c r="G57" s="28">
        <f t="shared" si="2"/>
        <v>9.5533000006980728E-2</v>
      </c>
      <c r="H57" s="28"/>
      <c r="I57" s="28"/>
      <c r="K57" s="28">
        <f t="shared" si="6"/>
        <v>9.5533000006980728E-2</v>
      </c>
      <c r="L57" s="28"/>
      <c r="M57" s="28"/>
      <c r="N57" s="28"/>
      <c r="O57" s="28">
        <f t="shared" ca="1" si="3"/>
        <v>9.5744184922770023E-2</v>
      </c>
      <c r="P57" s="28"/>
      <c r="Q57" s="30">
        <f t="shared" si="4"/>
        <v>39000.822800000002</v>
      </c>
      <c r="R57" s="28"/>
    </row>
    <row r="58" spans="1:18" x14ac:dyDescent="0.2">
      <c r="A58" s="34" t="s">
        <v>45</v>
      </c>
      <c r="B58" s="35" t="s">
        <v>34</v>
      </c>
      <c r="C58" s="36">
        <v>54019.322820000001</v>
      </c>
      <c r="D58" s="36">
        <v>2.9999999999999997E-4</v>
      </c>
      <c r="E58" s="28">
        <f t="shared" si="0"/>
        <v>24269.089356735865</v>
      </c>
      <c r="F58" s="28">
        <f t="shared" si="1"/>
        <v>24269</v>
      </c>
      <c r="G58" s="28">
        <f t="shared" si="2"/>
        <v>9.5553000006475486E-2</v>
      </c>
      <c r="H58" s="28"/>
      <c r="I58" s="28"/>
      <c r="K58" s="28">
        <f t="shared" si="6"/>
        <v>9.5553000006475486E-2</v>
      </c>
      <c r="L58" s="28"/>
      <c r="M58" s="28"/>
      <c r="O58" s="28">
        <f t="shared" ca="1" si="3"/>
        <v>9.5744184922770023E-2</v>
      </c>
      <c r="P58" s="28"/>
      <c r="Q58" s="30">
        <f t="shared" si="4"/>
        <v>39000.822820000001</v>
      </c>
      <c r="R58" s="28"/>
    </row>
    <row r="59" spans="1:18" x14ac:dyDescent="0.2">
      <c r="A59" s="53" t="s">
        <v>201</v>
      </c>
      <c r="B59" s="4" t="s">
        <v>34</v>
      </c>
      <c r="C59" s="40">
        <v>54314.462</v>
      </c>
      <c r="D59" s="40" t="s">
        <v>59</v>
      </c>
      <c r="E59" s="28">
        <f t="shared" si="0"/>
        <v>24545.089835534531</v>
      </c>
      <c r="F59" s="28">
        <f t="shared" si="1"/>
        <v>24545</v>
      </c>
      <c r="G59" s="28">
        <f t="shared" si="2"/>
        <v>9.606500000518281E-2</v>
      </c>
      <c r="H59" s="28"/>
      <c r="I59" s="28">
        <f>G59</f>
        <v>9.606500000518281E-2</v>
      </c>
      <c r="K59" s="28"/>
      <c r="L59" s="28"/>
      <c r="M59" s="28"/>
      <c r="N59" s="28"/>
      <c r="O59" s="28">
        <f t="shared" ca="1" si="3"/>
        <v>9.5997733728456699E-2</v>
      </c>
      <c r="P59" s="28"/>
      <c r="Q59" s="30">
        <f t="shared" si="4"/>
        <v>39295.962</v>
      </c>
    </row>
    <row r="60" spans="1:18" x14ac:dyDescent="0.2">
      <c r="A60" s="53" t="s">
        <v>201</v>
      </c>
      <c r="B60" s="4" t="s">
        <v>34</v>
      </c>
      <c r="C60" s="40">
        <v>54375.414700000001</v>
      </c>
      <c r="D60" s="40" t="s">
        <v>59</v>
      </c>
      <c r="E60" s="28">
        <f t="shared" si="0"/>
        <v>24602.089974872422</v>
      </c>
      <c r="F60" s="28">
        <f t="shared" si="1"/>
        <v>24602</v>
      </c>
      <c r="G60" s="28">
        <f t="shared" si="2"/>
        <v>9.6213999997416977E-2</v>
      </c>
      <c r="H60" s="28"/>
      <c r="I60" s="28">
        <f>G60</f>
        <v>9.6213999997416977E-2</v>
      </c>
      <c r="K60" s="28"/>
      <c r="L60" s="28"/>
      <c r="M60" s="28"/>
      <c r="N60" s="28"/>
      <c r="O60" s="28">
        <f t="shared" ca="1" si="3"/>
        <v>9.6050097068761553E-2</v>
      </c>
      <c r="P60" s="28"/>
      <c r="Q60" s="30">
        <f t="shared" si="4"/>
        <v>39356.914700000001</v>
      </c>
    </row>
    <row r="61" spans="1:18" x14ac:dyDescent="0.2">
      <c r="A61" s="53" t="s">
        <v>201</v>
      </c>
      <c r="B61" s="4" t="s">
        <v>34</v>
      </c>
      <c r="C61" s="40">
        <v>54389.315199999997</v>
      </c>
      <c r="D61" s="40" t="s">
        <v>59</v>
      </c>
      <c r="E61" s="28">
        <f t="shared" si="0"/>
        <v>24615.089078060078</v>
      </c>
      <c r="F61" s="28">
        <f t="shared" si="1"/>
        <v>24615</v>
      </c>
      <c r="G61" s="28">
        <f t="shared" si="2"/>
        <v>9.525500000017928E-2</v>
      </c>
      <c r="H61" s="28"/>
      <c r="I61" s="28">
        <f>G61</f>
        <v>9.525500000017928E-2</v>
      </c>
      <c r="K61" s="28"/>
      <c r="L61" s="28"/>
      <c r="M61" s="28"/>
      <c r="N61" s="28"/>
      <c r="O61" s="28">
        <f t="shared" ca="1" si="3"/>
        <v>9.6062039584971434E-2</v>
      </c>
      <c r="P61" s="28"/>
      <c r="Q61" s="30">
        <f t="shared" si="4"/>
        <v>39370.815199999997</v>
      </c>
    </row>
    <row r="62" spans="1:18" x14ac:dyDescent="0.2">
      <c r="A62" s="37" t="s">
        <v>48</v>
      </c>
      <c r="B62" s="38" t="s">
        <v>34</v>
      </c>
      <c r="C62" s="37">
        <v>55828.650900000001</v>
      </c>
      <c r="D62" s="37">
        <v>1.4E-3</v>
      </c>
      <c r="E62" s="28">
        <f t="shared" si="0"/>
        <v>25961.089098633463</v>
      </c>
      <c r="F62" s="28">
        <f t="shared" si="1"/>
        <v>25961</v>
      </c>
      <c r="G62" s="28">
        <f t="shared" si="2"/>
        <v>9.5277000000351109E-2</v>
      </c>
      <c r="H62" s="28"/>
      <c r="I62" s="28"/>
      <c r="K62" s="28">
        <f>G62</f>
        <v>9.5277000000351109E-2</v>
      </c>
      <c r="L62" s="28"/>
      <c r="M62" s="28"/>
      <c r="N62" s="28"/>
      <c r="O62" s="28">
        <f t="shared" ca="1" si="3"/>
        <v>9.7298549340240514E-2</v>
      </c>
      <c r="P62" s="28"/>
      <c r="Q62" s="30">
        <f t="shared" si="4"/>
        <v>40810.150900000001</v>
      </c>
      <c r="R62" s="28"/>
    </row>
    <row r="63" spans="1:18" x14ac:dyDescent="0.2">
      <c r="R63" s="2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topLeftCell="A7" workbookViewId="0">
      <selection activeCell="A22" sqref="A22:D48"/>
    </sheetView>
  </sheetViews>
  <sheetFormatPr defaultRowHeight="12.75" x14ac:dyDescent="0.2"/>
  <cols>
    <col min="1" max="1" width="19.7109375" style="40" customWidth="1"/>
    <col min="2" max="2" width="4.42578125" style="12" customWidth="1"/>
    <col min="3" max="3" width="12.7109375" style="4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4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49</v>
      </c>
      <c r="I1" s="41" t="s">
        <v>50</v>
      </c>
      <c r="J1" s="42" t="s">
        <v>51</v>
      </c>
    </row>
    <row r="2" spans="1:16" x14ac:dyDescent="0.2">
      <c r="I2" s="43" t="s">
        <v>52</v>
      </c>
      <c r="J2" s="44" t="s">
        <v>53</v>
      </c>
    </row>
    <row r="3" spans="1:16" x14ac:dyDescent="0.2">
      <c r="A3" s="45" t="s">
        <v>54</v>
      </c>
      <c r="I3" s="43" t="s">
        <v>55</v>
      </c>
      <c r="J3" s="44" t="s">
        <v>56</v>
      </c>
    </row>
    <row r="4" spans="1:16" x14ac:dyDescent="0.2">
      <c r="I4" s="43" t="s">
        <v>57</v>
      </c>
      <c r="J4" s="44" t="s">
        <v>56</v>
      </c>
    </row>
    <row r="5" spans="1:16" ht="13.5" thickBot="1" x14ac:dyDescent="0.25">
      <c r="I5" s="46" t="s">
        <v>58</v>
      </c>
      <c r="J5" s="47" t="s">
        <v>59</v>
      </c>
    </row>
    <row r="10" spans="1:16" ht="13.5" thickBot="1" x14ac:dyDescent="0.25"/>
    <row r="11" spans="1:16" ht="12.75" customHeight="1" thickBot="1" x14ac:dyDescent="0.25">
      <c r="A11" s="40" t="str">
        <f t="shared" ref="A11:A48" si="0">P11</f>
        <v> BBS 78 </v>
      </c>
      <c r="B11" s="4" t="str">
        <f t="shared" ref="B11:B48" si="1">IF(H11=INT(H11),"I","II")</f>
        <v>I</v>
      </c>
      <c r="C11" s="40">
        <f t="shared" ref="C11:C48" si="2">1*G11</f>
        <v>46326.451999999997</v>
      </c>
      <c r="D11" s="12" t="str">
        <f t="shared" ref="D11:D48" si="3">VLOOKUP(F11,I$1:J$5,2,FALSE)</f>
        <v>vis</v>
      </c>
      <c r="E11" s="48">
        <f>VLOOKUP(C11,Active!C$21:E$973,3,FALSE)</f>
        <v>17075.073199151251</v>
      </c>
      <c r="F11" s="4" t="s">
        <v>58</v>
      </c>
      <c r="G11" s="12" t="str">
        <f t="shared" ref="G11:G48" si="4">MID(I11,3,LEN(I11)-3)</f>
        <v>46326.452</v>
      </c>
      <c r="H11" s="40">
        <f t="shared" ref="H11:H48" si="5">1*K11</f>
        <v>-6837</v>
      </c>
      <c r="I11" s="49" t="s">
        <v>96</v>
      </c>
      <c r="J11" s="50" t="s">
        <v>97</v>
      </c>
      <c r="K11" s="49">
        <v>-6837</v>
      </c>
      <c r="L11" s="49" t="s">
        <v>98</v>
      </c>
      <c r="M11" s="50" t="s">
        <v>99</v>
      </c>
      <c r="N11" s="50"/>
      <c r="O11" s="51" t="s">
        <v>100</v>
      </c>
      <c r="P11" s="51" t="s">
        <v>101</v>
      </c>
    </row>
    <row r="12" spans="1:16" ht="12.75" customHeight="1" thickBot="1" x14ac:dyDescent="0.25">
      <c r="A12" s="40" t="str">
        <f t="shared" si="0"/>
        <v> BBS 81 </v>
      </c>
      <c r="B12" s="4" t="str">
        <f t="shared" si="1"/>
        <v>I</v>
      </c>
      <c r="C12" s="40">
        <f t="shared" si="2"/>
        <v>46651.534</v>
      </c>
      <c r="D12" s="12" t="str">
        <f t="shared" si="3"/>
        <v>vis</v>
      </c>
      <c r="E12" s="48">
        <f>VLOOKUP(C12,Active!C$21:E$973,3,FALSE)</f>
        <v>17379.074815096748</v>
      </c>
      <c r="F12" s="4" t="s">
        <v>58</v>
      </c>
      <c r="G12" s="12" t="str">
        <f t="shared" si="4"/>
        <v>46651.534</v>
      </c>
      <c r="H12" s="40">
        <f t="shared" si="5"/>
        <v>-6533</v>
      </c>
      <c r="I12" s="49" t="s">
        <v>112</v>
      </c>
      <c r="J12" s="50" t="s">
        <v>113</v>
      </c>
      <c r="K12" s="49">
        <v>-6533</v>
      </c>
      <c r="L12" s="49" t="s">
        <v>114</v>
      </c>
      <c r="M12" s="50" t="s">
        <v>99</v>
      </c>
      <c r="N12" s="50"/>
      <c r="O12" s="51" t="s">
        <v>100</v>
      </c>
      <c r="P12" s="51" t="s">
        <v>115</v>
      </c>
    </row>
    <row r="13" spans="1:16" ht="12.75" customHeight="1" thickBot="1" x14ac:dyDescent="0.25">
      <c r="A13" s="40" t="str">
        <f t="shared" si="0"/>
        <v> BBS 84 </v>
      </c>
      <c r="B13" s="4" t="str">
        <f t="shared" si="1"/>
        <v>I</v>
      </c>
      <c r="C13" s="40">
        <f t="shared" si="2"/>
        <v>46975.54</v>
      </c>
      <c r="D13" s="12" t="str">
        <f t="shared" si="3"/>
        <v>vis</v>
      </c>
      <c r="E13" s="48">
        <f>VLOOKUP(C13,Active!C$21:E$973,3,FALSE)</f>
        <v>17682.070205724453</v>
      </c>
      <c r="F13" s="4" t="s">
        <v>58</v>
      </c>
      <c r="G13" s="12" t="str">
        <f t="shared" si="4"/>
        <v>46975.540</v>
      </c>
      <c r="H13" s="40">
        <f t="shared" si="5"/>
        <v>-6230</v>
      </c>
      <c r="I13" s="49" t="s">
        <v>116</v>
      </c>
      <c r="J13" s="50" t="s">
        <v>117</v>
      </c>
      <c r="K13" s="49">
        <v>-6230</v>
      </c>
      <c r="L13" s="49" t="s">
        <v>118</v>
      </c>
      <c r="M13" s="50" t="s">
        <v>99</v>
      </c>
      <c r="N13" s="50"/>
      <c r="O13" s="51" t="s">
        <v>100</v>
      </c>
      <c r="P13" s="51" t="s">
        <v>119</v>
      </c>
    </row>
    <row r="14" spans="1:16" ht="12.75" customHeight="1" thickBot="1" x14ac:dyDescent="0.25">
      <c r="A14" s="40" t="str">
        <f t="shared" si="0"/>
        <v> BBS 88 </v>
      </c>
      <c r="B14" s="4" t="str">
        <f t="shared" si="1"/>
        <v>I</v>
      </c>
      <c r="C14" s="40">
        <f t="shared" si="2"/>
        <v>47330.567999999999</v>
      </c>
      <c r="D14" s="12" t="str">
        <f t="shared" si="3"/>
        <v>vis</v>
      </c>
      <c r="E14" s="48">
        <f>VLOOKUP(C14,Active!C$21:E$973,3,FALSE)</f>
        <v>18014.075932605348</v>
      </c>
      <c r="F14" s="4" t="s">
        <v>58</v>
      </c>
      <c r="G14" s="12" t="str">
        <f t="shared" si="4"/>
        <v>47330.568</v>
      </c>
      <c r="H14" s="40">
        <f t="shared" si="5"/>
        <v>-5898</v>
      </c>
      <c r="I14" s="49" t="s">
        <v>125</v>
      </c>
      <c r="J14" s="50" t="s">
        <v>126</v>
      </c>
      <c r="K14" s="49">
        <v>-5898</v>
      </c>
      <c r="L14" s="49" t="s">
        <v>127</v>
      </c>
      <c r="M14" s="50" t="s">
        <v>99</v>
      </c>
      <c r="N14" s="50"/>
      <c r="O14" s="51" t="s">
        <v>100</v>
      </c>
      <c r="P14" s="51" t="s">
        <v>128</v>
      </c>
    </row>
    <row r="15" spans="1:16" ht="12.75" customHeight="1" thickBot="1" x14ac:dyDescent="0.25">
      <c r="A15" s="40" t="str">
        <f t="shared" si="0"/>
        <v>BAVM 80 </v>
      </c>
      <c r="B15" s="4" t="str">
        <f t="shared" si="1"/>
        <v>I</v>
      </c>
      <c r="C15" s="40">
        <f t="shared" si="2"/>
        <v>49534.482400000001</v>
      </c>
      <c r="D15" s="12" t="str">
        <f t="shared" si="3"/>
        <v>vis</v>
      </c>
      <c r="E15" s="48">
        <f>VLOOKUP(C15,Active!C$21:E$973,3,FALSE)</f>
        <v>20075.074508366353</v>
      </c>
      <c r="F15" s="4" t="s">
        <v>58</v>
      </c>
      <c r="G15" s="12" t="str">
        <f t="shared" si="4"/>
        <v>49534.4824</v>
      </c>
      <c r="H15" s="40">
        <f t="shared" si="5"/>
        <v>-3837</v>
      </c>
      <c r="I15" s="49" t="s">
        <v>146</v>
      </c>
      <c r="J15" s="50" t="s">
        <v>147</v>
      </c>
      <c r="K15" s="49">
        <v>-3837</v>
      </c>
      <c r="L15" s="49" t="s">
        <v>148</v>
      </c>
      <c r="M15" s="50" t="s">
        <v>149</v>
      </c>
      <c r="N15" s="50" t="s">
        <v>150</v>
      </c>
      <c r="O15" s="51" t="s">
        <v>151</v>
      </c>
      <c r="P15" s="52" t="s">
        <v>152</v>
      </c>
    </row>
    <row r="16" spans="1:16" ht="12.75" customHeight="1" thickBot="1" x14ac:dyDescent="0.25">
      <c r="A16" s="40" t="str">
        <f t="shared" si="0"/>
        <v> BBS 118 </v>
      </c>
      <c r="B16" s="4" t="str">
        <f t="shared" si="1"/>
        <v>I</v>
      </c>
      <c r="C16" s="40">
        <f t="shared" si="2"/>
        <v>51013.390200000002</v>
      </c>
      <c r="D16" s="12" t="str">
        <f t="shared" si="3"/>
        <v>vis</v>
      </c>
      <c r="E16" s="48">
        <f>VLOOKUP(C16,Active!C$21:E$973,3,FALSE)</f>
        <v>21458.08052233942</v>
      </c>
      <c r="F16" s="4" t="s">
        <v>58</v>
      </c>
      <c r="G16" s="12" t="str">
        <f t="shared" si="4"/>
        <v>51013.3902</v>
      </c>
      <c r="H16" s="40">
        <f t="shared" si="5"/>
        <v>-2454</v>
      </c>
      <c r="I16" s="49" t="s">
        <v>153</v>
      </c>
      <c r="J16" s="50" t="s">
        <v>154</v>
      </c>
      <c r="K16" s="49">
        <v>-2454</v>
      </c>
      <c r="L16" s="49" t="s">
        <v>155</v>
      </c>
      <c r="M16" s="50" t="s">
        <v>149</v>
      </c>
      <c r="N16" s="50" t="s">
        <v>156</v>
      </c>
      <c r="O16" s="51" t="s">
        <v>157</v>
      </c>
      <c r="P16" s="51" t="s">
        <v>158</v>
      </c>
    </row>
    <row r="17" spans="1:16" ht="12.75" customHeight="1" thickBot="1" x14ac:dyDescent="0.25">
      <c r="A17" s="40" t="str">
        <f t="shared" si="0"/>
        <v>IBVS 5583 </v>
      </c>
      <c r="B17" s="4" t="str">
        <f t="shared" si="1"/>
        <v>I</v>
      </c>
      <c r="C17" s="40">
        <f t="shared" si="2"/>
        <v>52139.415999999997</v>
      </c>
      <c r="D17" s="12" t="str">
        <f t="shared" si="3"/>
        <v>vis</v>
      </c>
      <c r="E17" s="48">
        <f>VLOOKUP(C17,Active!C$21:E$973,3,FALSE)</f>
        <v>22511.087649145316</v>
      </c>
      <c r="F17" s="4" t="s">
        <v>58</v>
      </c>
      <c r="G17" s="12" t="str">
        <f t="shared" si="4"/>
        <v>52139.4160</v>
      </c>
      <c r="H17" s="40">
        <f t="shared" si="5"/>
        <v>-1401</v>
      </c>
      <c r="I17" s="49" t="s">
        <v>168</v>
      </c>
      <c r="J17" s="50" t="s">
        <v>169</v>
      </c>
      <c r="K17" s="49">
        <v>-1401</v>
      </c>
      <c r="L17" s="49" t="s">
        <v>170</v>
      </c>
      <c r="M17" s="50" t="s">
        <v>149</v>
      </c>
      <c r="N17" s="50" t="s">
        <v>156</v>
      </c>
      <c r="O17" s="51" t="s">
        <v>171</v>
      </c>
      <c r="P17" s="52" t="s">
        <v>172</v>
      </c>
    </row>
    <row r="18" spans="1:16" ht="12.75" customHeight="1" thickBot="1" x14ac:dyDescent="0.25">
      <c r="A18" s="40" t="str">
        <f t="shared" si="0"/>
        <v>IBVS 5583 </v>
      </c>
      <c r="B18" s="4" t="str">
        <f t="shared" si="1"/>
        <v>I</v>
      </c>
      <c r="C18" s="40">
        <f t="shared" si="2"/>
        <v>52495.508900000001</v>
      </c>
      <c r="D18" s="12" t="str">
        <f t="shared" si="3"/>
        <v>vis</v>
      </c>
      <c r="E18" s="48">
        <f>VLOOKUP(C18,Active!C$21:E$973,3,FALSE)</f>
        <v>22844.089221138587</v>
      </c>
      <c r="F18" s="4" t="s">
        <v>58</v>
      </c>
      <c r="G18" s="12" t="str">
        <f t="shared" si="4"/>
        <v>52495.5089</v>
      </c>
      <c r="H18" s="40">
        <f t="shared" si="5"/>
        <v>-1068</v>
      </c>
      <c r="I18" s="49" t="s">
        <v>173</v>
      </c>
      <c r="J18" s="50" t="s">
        <v>174</v>
      </c>
      <c r="K18" s="49">
        <v>-1068</v>
      </c>
      <c r="L18" s="49" t="s">
        <v>175</v>
      </c>
      <c r="M18" s="50" t="s">
        <v>149</v>
      </c>
      <c r="N18" s="50" t="s">
        <v>156</v>
      </c>
      <c r="O18" s="51" t="s">
        <v>171</v>
      </c>
      <c r="P18" s="52" t="s">
        <v>172</v>
      </c>
    </row>
    <row r="19" spans="1:16" ht="12.75" customHeight="1" thickBot="1" x14ac:dyDescent="0.25">
      <c r="A19" s="40" t="str">
        <f t="shared" si="0"/>
        <v>IBVS 5583 </v>
      </c>
      <c r="B19" s="4" t="str">
        <f t="shared" si="1"/>
        <v>I</v>
      </c>
      <c r="C19" s="40">
        <f t="shared" si="2"/>
        <v>52878.335099999997</v>
      </c>
      <c r="D19" s="12" t="str">
        <f t="shared" si="3"/>
        <v>vis</v>
      </c>
      <c r="E19" s="48">
        <f>VLOOKUP(C19,Active!C$21:E$973,3,FALSE)</f>
        <v>23202.090535964606</v>
      </c>
      <c r="F19" s="4" t="s">
        <v>58</v>
      </c>
      <c r="G19" s="12" t="str">
        <f t="shared" si="4"/>
        <v>52878.3351</v>
      </c>
      <c r="H19" s="40">
        <f t="shared" si="5"/>
        <v>-710</v>
      </c>
      <c r="I19" s="49" t="s">
        <v>176</v>
      </c>
      <c r="J19" s="50" t="s">
        <v>177</v>
      </c>
      <c r="K19" s="49">
        <v>-710</v>
      </c>
      <c r="L19" s="49" t="s">
        <v>178</v>
      </c>
      <c r="M19" s="50" t="s">
        <v>149</v>
      </c>
      <c r="N19" s="50" t="s">
        <v>156</v>
      </c>
      <c r="O19" s="51" t="s">
        <v>171</v>
      </c>
      <c r="P19" s="52" t="s">
        <v>172</v>
      </c>
    </row>
    <row r="20" spans="1:16" ht="12.75" customHeight="1" thickBot="1" x14ac:dyDescent="0.25">
      <c r="A20" s="40" t="str">
        <f t="shared" si="0"/>
        <v>IBVS 5741 </v>
      </c>
      <c r="B20" s="4" t="str">
        <f t="shared" si="1"/>
        <v>I</v>
      </c>
      <c r="C20" s="40">
        <f t="shared" si="2"/>
        <v>53233.357799999998</v>
      </c>
      <c r="D20" s="12" t="str">
        <f t="shared" si="3"/>
        <v>vis</v>
      </c>
      <c r="E20" s="48">
        <f>VLOOKUP(C20,Active!C$21:E$973,3,FALSE)</f>
        <v>23534.091306531205</v>
      </c>
      <c r="F20" s="4" t="s">
        <v>58</v>
      </c>
      <c r="G20" s="12" t="str">
        <f t="shared" si="4"/>
        <v>53233.3578</v>
      </c>
      <c r="H20" s="40">
        <f t="shared" si="5"/>
        <v>-378</v>
      </c>
      <c r="I20" s="49" t="s">
        <v>179</v>
      </c>
      <c r="J20" s="50" t="s">
        <v>180</v>
      </c>
      <c r="K20" s="49">
        <v>-378</v>
      </c>
      <c r="L20" s="49" t="s">
        <v>181</v>
      </c>
      <c r="M20" s="50" t="s">
        <v>149</v>
      </c>
      <c r="N20" s="50" t="s">
        <v>156</v>
      </c>
      <c r="O20" s="51" t="s">
        <v>182</v>
      </c>
      <c r="P20" s="52" t="s">
        <v>183</v>
      </c>
    </row>
    <row r="21" spans="1:16" ht="12.75" customHeight="1" thickBot="1" x14ac:dyDescent="0.25">
      <c r="A21" s="40" t="str">
        <f t="shared" si="0"/>
        <v>IBVS 6011 </v>
      </c>
      <c r="B21" s="4" t="str">
        <f t="shared" si="1"/>
        <v>I</v>
      </c>
      <c r="C21" s="40">
        <f t="shared" si="2"/>
        <v>55828.650900000001</v>
      </c>
      <c r="D21" s="12" t="str">
        <f t="shared" si="3"/>
        <v>vis</v>
      </c>
      <c r="E21" s="48">
        <f>VLOOKUP(C21,Active!C$21:E$973,3,FALSE)</f>
        <v>25961.089098633463</v>
      </c>
      <c r="F21" s="4" t="s">
        <v>58</v>
      </c>
      <c r="G21" s="12" t="str">
        <f t="shared" si="4"/>
        <v>55828.6509</v>
      </c>
      <c r="H21" s="40">
        <f t="shared" si="5"/>
        <v>2049</v>
      </c>
      <c r="I21" s="49" t="s">
        <v>210</v>
      </c>
      <c r="J21" s="50" t="s">
        <v>211</v>
      </c>
      <c r="K21" s="49" t="s">
        <v>212</v>
      </c>
      <c r="L21" s="49" t="s">
        <v>213</v>
      </c>
      <c r="M21" s="50" t="s">
        <v>187</v>
      </c>
      <c r="N21" s="50" t="s">
        <v>58</v>
      </c>
      <c r="O21" s="51" t="s">
        <v>162</v>
      </c>
      <c r="P21" s="52" t="s">
        <v>214</v>
      </c>
    </row>
    <row r="22" spans="1:16" ht="12.75" customHeight="1" thickBot="1" x14ac:dyDescent="0.25">
      <c r="A22" s="40" t="str">
        <f t="shared" si="0"/>
        <v> VSS 1.248 </v>
      </c>
      <c r="B22" s="4" t="str">
        <f t="shared" si="1"/>
        <v>I</v>
      </c>
      <c r="C22" s="40">
        <f t="shared" si="2"/>
        <v>28067.327000000001</v>
      </c>
      <c r="D22" s="12" t="str">
        <f t="shared" si="3"/>
        <v>vis</v>
      </c>
      <c r="E22" s="48">
        <f>VLOOKUP(C22,Active!C$21:E$973,3,FALSE)</f>
        <v>-1.4027304615467558E-2</v>
      </c>
      <c r="F22" s="4" t="s">
        <v>58</v>
      </c>
      <c r="G22" s="12" t="str">
        <f t="shared" si="4"/>
        <v>28067.327</v>
      </c>
      <c r="H22" s="40">
        <f t="shared" si="5"/>
        <v>-23912</v>
      </c>
      <c r="I22" s="49" t="s">
        <v>60</v>
      </c>
      <c r="J22" s="50" t="s">
        <v>61</v>
      </c>
      <c r="K22" s="49">
        <v>-23912</v>
      </c>
      <c r="L22" s="49" t="s">
        <v>62</v>
      </c>
      <c r="M22" s="50" t="s">
        <v>63</v>
      </c>
      <c r="N22" s="50"/>
      <c r="O22" s="51" t="s">
        <v>64</v>
      </c>
      <c r="P22" s="51" t="s">
        <v>65</v>
      </c>
    </row>
    <row r="23" spans="1:16" ht="12.75" customHeight="1" thickBot="1" x14ac:dyDescent="0.25">
      <c r="A23" s="40" t="str">
        <f t="shared" si="0"/>
        <v> VSS 1.248 </v>
      </c>
      <c r="B23" s="4" t="str">
        <f t="shared" si="1"/>
        <v>I</v>
      </c>
      <c r="C23" s="40">
        <f t="shared" si="2"/>
        <v>29071.460999999999</v>
      </c>
      <c r="D23" s="12" t="str">
        <f t="shared" si="3"/>
        <v>vis</v>
      </c>
      <c r="E23" s="48">
        <f>VLOOKUP(C23,Active!C$21:E$973,3,FALSE)</f>
        <v>939.00553891501499</v>
      </c>
      <c r="F23" s="4" t="s">
        <v>58</v>
      </c>
      <c r="G23" s="12" t="str">
        <f t="shared" si="4"/>
        <v>29071.461</v>
      </c>
      <c r="H23" s="40">
        <f t="shared" si="5"/>
        <v>-22973</v>
      </c>
      <c r="I23" s="49" t="s">
        <v>66</v>
      </c>
      <c r="J23" s="50" t="s">
        <v>67</v>
      </c>
      <c r="K23" s="49">
        <v>-22973</v>
      </c>
      <c r="L23" s="49" t="s">
        <v>68</v>
      </c>
      <c r="M23" s="50" t="s">
        <v>63</v>
      </c>
      <c r="N23" s="50"/>
      <c r="O23" s="51" t="s">
        <v>64</v>
      </c>
      <c r="P23" s="51" t="s">
        <v>65</v>
      </c>
    </row>
    <row r="24" spans="1:16" ht="12.75" customHeight="1" thickBot="1" x14ac:dyDescent="0.25">
      <c r="A24" s="40" t="str">
        <f t="shared" si="0"/>
        <v> VSS 1.248 </v>
      </c>
      <c r="B24" s="4" t="str">
        <f t="shared" si="1"/>
        <v>I</v>
      </c>
      <c r="C24" s="40">
        <f t="shared" si="2"/>
        <v>29087.508000000002</v>
      </c>
      <c r="D24" s="12" t="str">
        <f t="shared" si="3"/>
        <v>vis</v>
      </c>
      <c r="E24" s="48">
        <f>VLOOKUP(C24,Active!C$21:E$973,3,FALSE)</f>
        <v>954.01194939322659</v>
      </c>
      <c r="F24" s="4" t="s">
        <v>58</v>
      </c>
      <c r="G24" s="12" t="str">
        <f t="shared" si="4"/>
        <v>29087.508</v>
      </c>
      <c r="H24" s="40">
        <f t="shared" si="5"/>
        <v>-22958</v>
      </c>
      <c r="I24" s="49" t="s">
        <v>69</v>
      </c>
      <c r="J24" s="50" t="s">
        <v>70</v>
      </c>
      <c r="K24" s="49">
        <v>-22958</v>
      </c>
      <c r="L24" s="49" t="s">
        <v>71</v>
      </c>
      <c r="M24" s="50" t="s">
        <v>63</v>
      </c>
      <c r="N24" s="50"/>
      <c r="O24" s="51" t="s">
        <v>64</v>
      </c>
      <c r="P24" s="51" t="s">
        <v>65</v>
      </c>
    </row>
    <row r="25" spans="1:16" ht="12.75" customHeight="1" thickBot="1" x14ac:dyDescent="0.25">
      <c r="A25" s="40" t="str">
        <f t="shared" si="0"/>
        <v> VSS 1.248 </v>
      </c>
      <c r="B25" s="4" t="str">
        <f t="shared" si="1"/>
        <v>I</v>
      </c>
      <c r="C25" s="40">
        <f t="shared" si="2"/>
        <v>29546.280999999999</v>
      </c>
      <c r="D25" s="12" t="str">
        <f t="shared" si="3"/>
        <v>vis</v>
      </c>
      <c r="E25" s="48">
        <f>VLOOKUP(C25,Active!C$21:E$973,3,FALSE)</f>
        <v>1383.0351907666657</v>
      </c>
      <c r="F25" s="4" t="s">
        <v>58</v>
      </c>
      <c r="G25" s="12" t="str">
        <f t="shared" si="4"/>
        <v>29546.281</v>
      </c>
      <c r="H25" s="40">
        <f t="shared" si="5"/>
        <v>-22529</v>
      </c>
      <c r="I25" s="49" t="s">
        <v>72</v>
      </c>
      <c r="J25" s="50" t="s">
        <v>73</v>
      </c>
      <c r="K25" s="49">
        <v>-22529</v>
      </c>
      <c r="L25" s="49" t="s">
        <v>74</v>
      </c>
      <c r="M25" s="50" t="s">
        <v>63</v>
      </c>
      <c r="N25" s="50"/>
      <c r="O25" s="51" t="s">
        <v>64</v>
      </c>
      <c r="P25" s="51" t="s">
        <v>65</v>
      </c>
    </row>
    <row r="26" spans="1:16" ht="12.75" customHeight="1" thickBot="1" x14ac:dyDescent="0.25">
      <c r="A26" s="40" t="str">
        <f t="shared" si="0"/>
        <v> VSS 1.248 </v>
      </c>
      <c r="B26" s="4" t="str">
        <f t="shared" si="1"/>
        <v>I</v>
      </c>
      <c r="C26" s="40">
        <f t="shared" si="2"/>
        <v>29931.252</v>
      </c>
      <c r="D26" s="12" t="str">
        <f t="shared" si="3"/>
        <v>vis</v>
      </c>
      <c r="E26" s="48">
        <f>VLOOKUP(C26,Active!C$21:E$973,3,FALSE)</f>
        <v>1743.0422231220477</v>
      </c>
      <c r="F26" s="4" t="s">
        <v>58</v>
      </c>
      <c r="G26" s="12" t="str">
        <f t="shared" si="4"/>
        <v>29931.252</v>
      </c>
      <c r="H26" s="40">
        <f t="shared" si="5"/>
        <v>-22169</v>
      </c>
      <c r="I26" s="49" t="s">
        <v>75</v>
      </c>
      <c r="J26" s="50" t="s">
        <v>76</v>
      </c>
      <c r="K26" s="49">
        <v>-22169</v>
      </c>
      <c r="L26" s="49" t="s">
        <v>77</v>
      </c>
      <c r="M26" s="50" t="s">
        <v>63</v>
      </c>
      <c r="N26" s="50"/>
      <c r="O26" s="51" t="s">
        <v>64</v>
      </c>
      <c r="P26" s="51" t="s">
        <v>65</v>
      </c>
    </row>
    <row r="27" spans="1:16" ht="12.75" customHeight="1" thickBot="1" x14ac:dyDescent="0.25">
      <c r="A27" s="40" t="str">
        <f t="shared" si="0"/>
        <v> VSS 1.248 </v>
      </c>
      <c r="B27" s="4" t="str">
        <f t="shared" si="1"/>
        <v>I</v>
      </c>
      <c r="C27" s="40">
        <f t="shared" si="2"/>
        <v>30582.409</v>
      </c>
      <c r="D27" s="12" t="str">
        <f t="shared" si="3"/>
        <v>vis</v>
      </c>
      <c r="E27" s="48">
        <f>VLOOKUP(C27,Active!C$21:E$973,3,FALSE)</f>
        <v>2351.9740625786108</v>
      </c>
      <c r="F27" s="4" t="s">
        <v>58</v>
      </c>
      <c r="G27" s="12" t="str">
        <f t="shared" si="4"/>
        <v>30582.409</v>
      </c>
      <c r="H27" s="40">
        <f t="shared" si="5"/>
        <v>-21560</v>
      </c>
      <c r="I27" s="49" t="s">
        <v>78</v>
      </c>
      <c r="J27" s="50" t="s">
        <v>79</v>
      </c>
      <c r="K27" s="49">
        <v>-21560</v>
      </c>
      <c r="L27" s="49" t="s">
        <v>80</v>
      </c>
      <c r="M27" s="50" t="s">
        <v>63</v>
      </c>
      <c r="N27" s="50"/>
      <c r="O27" s="51" t="s">
        <v>64</v>
      </c>
      <c r="P27" s="51" t="s">
        <v>65</v>
      </c>
    </row>
    <row r="28" spans="1:16" ht="12.75" customHeight="1" thickBot="1" x14ac:dyDescent="0.25">
      <c r="A28" s="40" t="str">
        <f t="shared" si="0"/>
        <v> VSS 1.248 </v>
      </c>
      <c r="B28" s="4" t="str">
        <f t="shared" si="1"/>
        <v>I</v>
      </c>
      <c r="C28" s="40">
        <f t="shared" si="2"/>
        <v>31292.468000000001</v>
      </c>
      <c r="D28" s="12" t="str">
        <f t="shared" si="3"/>
        <v>vis</v>
      </c>
      <c r="E28" s="48">
        <f>VLOOKUP(C28,Active!C$21:E$973,3,FALSE)</f>
        <v>3015.9883218013306</v>
      </c>
      <c r="F28" s="4" t="s">
        <v>58</v>
      </c>
      <c r="G28" s="12" t="str">
        <f t="shared" si="4"/>
        <v>31292.468</v>
      </c>
      <c r="H28" s="40">
        <f t="shared" si="5"/>
        <v>-20896</v>
      </c>
      <c r="I28" s="49" t="s">
        <v>81</v>
      </c>
      <c r="J28" s="50" t="s">
        <v>82</v>
      </c>
      <c r="K28" s="49">
        <v>-20896</v>
      </c>
      <c r="L28" s="49" t="s">
        <v>83</v>
      </c>
      <c r="M28" s="50" t="s">
        <v>63</v>
      </c>
      <c r="N28" s="50"/>
      <c r="O28" s="51" t="s">
        <v>64</v>
      </c>
      <c r="P28" s="51" t="s">
        <v>65</v>
      </c>
    </row>
    <row r="29" spans="1:16" ht="12.75" customHeight="1" thickBot="1" x14ac:dyDescent="0.25">
      <c r="A29" s="40" t="str">
        <f t="shared" si="0"/>
        <v> VSS 1.248 </v>
      </c>
      <c r="B29" s="4" t="str">
        <f t="shared" si="1"/>
        <v>I</v>
      </c>
      <c r="C29" s="40">
        <f t="shared" si="2"/>
        <v>31321.379000000001</v>
      </c>
      <c r="D29" s="12" t="str">
        <f t="shared" si="3"/>
        <v>vis</v>
      </c>
      <c r="E29" s="48">
        <f>VLOOKUP(C29,Active!C$21:E$973,3,FALSE)</f>
        <v>3043.0245487182319</v>
      </c>
      <c r="F29" s="4" t="s">
        <v>58</v>
      </c>
      <c r="G29" s="12" t="str">
        <f t="shared" si="4"/>
        <v>31321.379</v>
      </c>
      <c r="H29" s="40">
        <f t="shared" si="5"/>
        <v>-20869</v>
      </c>
      <c r="I29" s="49" t="s">
        <v>84</v>
      </c>
      <c r="J29" s="50" t="s">
        <v>85</v>
      </c>
      <c r="K29" s="49">
        <v>-20869</v>
      </c>
      <c r="L29" s="49" t="s">
        <v>86</v>
      </c>
      <c r="M29" s="50" t="s">
        <v>63</v>
      </c>
      <c r="N29" s="50"/>
      <c r="O29" s="51" t="s">
        <v>64</v>
      </c>
      <c r="P29" s="51" t="s">
        <v>65</v>
      </c>
    </row>
    <row r="30" spans="1:16" ht="12.75" customHeight="1" thickBot="1" x14ac:dyDescent="0.25">
      <c r="A30" s="40" t="str">
        <f t="shared" si="0"/>
        <v> VSS 1.248 </v>
      </c>
      <c r="B30" s="4" t="str">
        <f t="shared" si="1"/>
        <v>I</v>
      </c>
      <c r="C30" s="40">
        <f t="shared" si="2"/>
        <v>31322.420999999998</v>
      </c>
      <c r="D30" s="12" t="str">
        <f t="shared" si="3"/>
        <v>vis</v>
      </c>
      <c r="E30" s="48">
        <f>VLOOKUP(C30,Active!C$21:E$973,3,FALSE)</f>
        <v>3043.998978812222</v>
      </c>
      <c r="F30" s="4" t="s">
        <v>58</v>
      </c>
      <c r="G30" s="12" t="str">
        <f t="shared" si="4"/>
        <v>31322.421</v>
      </c>
      <c r="H30" s="40">
        <f t="shared" si="5"/>
        <v>-20868</v>
      </c>
      <c r="I30" s="49" t="s">
        <v>87</v>
      </c>
      <c r="J30" s="50" t="s">
        <v>88</v>
      </c>
      <c r="K30" s="49">
        <v>-20868</v>
      </c>
      <c r="L30" s="49" t="s">
        <v>89</v>
      </c>
      <c r="M30" s="50" t="s">
        <v>63</v>
      </c>
      <c r="N30" s="50"/>
      <c r="O30" s="51" t="s">
        <v>64</v>
      </c>
      <c r="P30" s="51" t="s">
        <v>65</v>
      </c>
    </row>
    <row r="31" spans="1:16" ht="12.75" customHeight="1" thickBot="1" x14ac:dyDescent="0.25">
      <c r="A31" s="40" t="str">
        <f t="shared" si="0"/>
        <v> VSS 1.248 </v>
      </c>
      <c r="B31" s="4" t="str">
        <f t="shared" si="1"/>
        <v>I</v>
      </c>
      <c r="C31" s="40">
        <f t="shared" si="2"/>
        <v>31323.47</v>
      </c>
      <c r="D31" s="12" t="str">
        <f t="shared" si="3"/>
        <v>vis</v>
      </c>
      <c r="E31" s="48">
        <f>VLOOKUP(C31,Active!C$21:E$973,3,FALSE)</f>
        <v>3044.9799549817044</v>
      </c>
      <c r="F31" s="4" t="s">
        <v>58</v>
      </c>
      <c r="G31" s="12" t="str">
        <f t="shared" si="4"/>
        <v>31323.470</v>
      </c>
      <c r="H31" s="40">
        <f t="shared" si="5"/>
        <v>-20867</v>
      </c>
      <c r="I31" s="49" t="s">
        <v>90</v>
      </c>
      <c r="J31" s="50" t="s">
        <v>91</v>
      </c>
      <c r="K31" s="49">
        <v>-20867</v>
      </c>
      <c r="L31" s="49" t="s">
        <v>92</v>
      </c>
      <c r="M31" s="50" t="s">
        <v>63</v>
      </c>
      <c r="N31" s="50"/>
      <c r="O31" s="51" t="s">
        <v>64</v>
      </c>
      <c r="P31" s="51" t="s">
        <v>65</v>
      </c>
    </row>
    <row r="32" spans="1:16" ht="12.75" customHeight="1" thickBot="1" x14ac:dyDescent="0.25">
      <c r="A32" s="40" t="str">
        <f t="shared" si="0"/>
        <v> VSS 1.248 </v>
      </c>
      <c r="B32" s="4" t="str">
        <f t="shared" si="1"/>
        <v>I</v>
      </c>
      <c r="C32" s="40">
        <f t="shared" si="2"/>
        <v>31352.341</v>
      </c>
      <c r="D32" s="12" t="str">
        <f t="shared" si="3"/>
        <v>vis</v>
      </c>
      <c r="E32" s="48">
        <f>VLOOKUP(C32,Active!C$21:E$973,3,FALSE)</f>
        <v>3071.9787757529625</v>
      </c>
      <c r="F32" s="4" t="s">
        <v>58</v>
      </c>
      <c r="G32" s="12" t="str">
        <f t="shared" si="4"/>
        <v>31352.341</v>
      </c>
      <c r="H32" s="40">
        <f t="shared" si="5"/>
        <v>-20840</v>
      </c>
      <c r="I32" s="49" t="s">
        <v>93</v>
      </c>
      <c r="J32" s="50" t="s">
        <v>94</v>
      </c>
      <c r="K32" s="49">
        <v>-20840</v>
      </c>
      <c r="L32" s="49" t="s">
        <v>95</v>
      </c>
      <c r="M32" s="50" t="s">
        <v>63</v>
      </c>
      <c r="N32" s="50"/>
      <c r="O32" s="51" t="s">
        <v>64</v>
      </c>
      <c r="P32" s="51" t="s">
        <v>65</v>
      </c>
    </row>
    <row r="33" spans="1:16" ht="12.75" customHeight="1" thickBot="1" x14ac:dyDescent="0.25">
      <c r="A33" s="40" t="str">
        <f t="shared" si="0"/>
        <v> BRNO 27 </v>
      </c>
      <c r="B33" s="4" t="str">
        <f t="shared" si="1"/>
        <v>I</v>
      </c>
      <c r="C33" s="40">
        <f t="shared" si="2"/>
        <v>46340.358</v>
      </c>
      <c r="D33" s="12" t="str">
        <f t="shared" si="3"/>
        <v>vis</v>
      </c>
      <c r="E33" s="48">
        <f>VLOOKUP(C33,Active!C$21:E$973,3,FALSE)</f>
        <v>17088.077445683939</v>
      </c>
      <c r="F33" s="4" t="s">
        <v>58</v>
      </c>
      <c r="G33" s="12" t="str">
        <f t="shared" si="4"/>
        <v>46340.358</v>
      </c>
      <c r="H33" s="40">
        <f t="shared" si="5"/>
        <v>-6824</v>
      </c>
      <c r="I33" s="49" t="s">
        <v>102</v>
      </c>
      <c r="J33" s="50" t="s">
        <v>103</v>
      </c>
      <c r="K33" s="49">
        <v>-6824</v>
      </c>
      <c r="L33" s="49" t="s">
        <v>104</v>
      </c>
      <c r="M33" s="50" t="s">
        <v>99</v>
      </c>
      <c r="N33" s="50"/>
      <c r="O33" s="51" t="s">
        <v>105</v>
      </c>
      <c r="P33" s="51" t="s">
        <v>106</v>
      </c>
    </row>
    <row r="34" spans="1:16" ht="12.75" customHeight="1" thickBot="1" x14ac:dyDescent="0.25">
      <c r="A34" s="40" t="str">
        <f t="shared" si="0"/>
        <v> BRNO 28 </v>
      </c>
      <c r="B34" s="4" t="str">
        <f t="shared" si="1"/>
        <v>I</v>
      </c>
      <c r="C34" s="40">
        <f t="shared" si="2"/>
        <v>46619.466999999997</v>
      </c>
      <c r="D34" s="12" t="str">
        <f t="shared" si="3"/>
        <v>vis</v>
      </c>
      <c r="E34" s="48">
        <f>VLOOKUP(C34,Active!C$21:E$973,3,FALSE)</f>
        <v>17349.087243288635</v>
      </c>
      <c r="F34" s="4" t="s">
        <v>58</v>
      </c>
      <c r="G34" s="12" t="str">
        <f t="shared" si="4"/>
        <v>46619.467</v>
      </c>
      <c r="H34" s="40">
        <f t="shared" si="5"/>
        <v>-6563</v>
      </c>
      <c r="I34" s="49" t="s">
        <v>107</v>
      </c>
      <c r="J34" s="50" t="s">
        <v>108</v>
      </c>
      <c r="K34" s="49">
        <v>-6563</v>
      </c>
      <c r="L34" s="49" t="s">
        <v>109</v>
      </c>
      <c r="M34" s="50" t="s">
        <v>99</v>
      </c>
      <c r="N34" s="50"/>
      <c r="O34" s="51" t="s">
        <v>110</v>
      </c>
      <c r="P34" s="51" t="s">
        <v>111</v>
      </c>
    </row>
    <row r="35" spans="1:16" ht="12.75" customHeight="1" thickBot="1" x14ac:dyDescent="0.25">
      <c r="A35" s="40" t="str">
        <f t="shared" si="0"/>
        <v> BRNO 30 </v>
      </c>
      <c r="B35" s="4" t="str">
        <f t="shared" si="1"/>
        <v>I</v>
      </c>
      <c r="C35" s="40">
        <f t="shared" si="2"/>
        <v>47095.315000000002</v>
      </c>
      <c r="D35" s="12" t="str">
        <f t="shared" si="3"/>
        <v>vis</v>
      </c>
      <c r="E35" s="48">
        <f>VLOOKUP(C35,Active!C$21:E$973,3,FALSE)</f>
        <v>17794.078233083306</v>
      </c>
      <c r="F35" s="4" t="s">
        <v>58</v>
      </c>
      <c r="G35" s="12" t="str">
        <f t="shared" si="4"/>
        <v>47095.315</v>
      </c>
      <c r="H35" s="40">
        <f t="shared" si="5"/>
        <v>-6118</v>
      </c>
      <c r="I35" s="49" t="s">
        <v>120</v>
      </c>
      <c r="J35" s="50" t="s">
        <v>121</v>
      </c>
      <c r="K35" s="49">
        <v>-6118</v>
      </c>
      <c r="L35" s="49" t="s">
        <v>122</v>
      </c>
      <c r="M35" s="50" t="s">
        <v>99</v>
      </c>
      <c r="N35" s="50"/>
      <c r="O35" s="51" t="s">
        <v>123</v>
      </c>
      <c r="P35" s="51" t="s">
        <v>124</v>
      </c>
    </row>
    <row r="36" spans="1:16" ht="12.75" customHeight="1" thickBot="1" x14ac:dyDescent="0.25">
      <c r="A36" s="40" t="str">
        <f t="shared" si="0"/>
        <v> BRNO 30 </v>
      </c>
      <c r="B36" s="4" t="str">
        <f t="shared" si="1"/>
        <v>I</v>
      </c>
      <c r="C36" s="40">
        <f t="shared" si="2"/>
        <v>47359.438000000002</v>
      </c>
      <c r="D36" s="12" t="str">
        <f t="shared" si="3"/>
        <v>vis</v>
      </c>
      <c r="E36" s="48">
        <f>VLOOKUP(C36,Active!C$21:E$973,3,FALSE)</f>
        <v>18041.073818222969</v>
      </c>
      <c r="F36" s="4" t="s">
        <v>58</v>
      </c>
      <c r="G36" s="12" t="str">
        <f t="shared" si="4"/>
        <v>47359.438</v>
      </c>
      <c r="H36" s="40">
        <f t="shared" si="5"/>
        <v>-5871</v>
      </c>
      <c r="I36" s="49" t="s">
        <v>129</v>
      </c>
      <c r="J36" s="50" t="s">
        <v>130</v>
      </c>
      <c r="K36" s="49">
        <v>-5871</v>
      </c>
      <c r="L36" s="49" t="s">
        <v>131</v>
      </c>
      <c r="M36" s="50" t="s">
        <v>99</v>
      </c>
      <c r="N36" s="50"/>
      <c r="O36" s="51" t="s">
        <v>132</v>
      </c>
      <c r="P36" s="51" t="s">
        <v>124</v>
      </c>
    </row>
    <row r="37" spans="1:16" ht="12.75" customHeight="1" thickBot="1" x14ac:dyDescent="0.25">
      <c r="A37" s="40" t="str">
        <f t="shared" si="0"/>
        <v> BRNO 30 </v>
      </c>
      <c r="B37" s="4" t="str">
        <f t="shared" si="1"/>
        <v>I</v>
      </c>
      <c r="C37" s="40">
        <f t="shared" si="2"/>
        <v>47714.453999999998</v>
      </c>
      <c r="D37" s="12" t="str">
        <f t="shared" si="3"/>
        <v>vis</v>
      </c>
      <c r="E37" s="48">
        <f>VLOOKUP(C37,Active!C$21:E$973,3,FALSE)</f>
        <v>18373.06832326017</v>
      </c>
      <c r="F37" s="4" t="s">
        <v>58</v>
      </c>
      <c r="G37" s="12" t="str">
        <f t="shared" si="4"/>
        <v>47714.454</v>
      </c>
      <c r="H37" s="40">
        <f t="shared" si="5"/>
        <v>-5539</v>
      </c>
      <c r="I37" s="49" t="s">
        <v>133</v>
      </c>
      <c r="J37" s="50" t="s">
        <v>134</v>
      </c>
      <c r="K37" s="49">
        <v>-5539</v>
      </c>
      <c r="L37" s="49" t="s">
        <v>118</v>
      </c>
      <c r="M37" s="50" t="s">
        <v>99</v>
      </c>
      <c r="N37" s="50"/>
      <c r="O37" s="51" t="s">
        <v>135</v>
      </c>
      <c r="P37" s="51" t="s">
        <v>124</v>
      </c>
    </row>
    <row r="38" spans="1:16" ht="12.75" customHeight="1" thickBot="1" x14ac:dyDescent="0.25">
      <c r="A38" s="40" t="str">
        <f t="shared" si="0"/>
        <v> BRNO 30 </v>
      </c>
      <c r="B38" s="4" t="str">
        <f t="shared" si="1"/>
        <v>I</v>
      </c>
      <c r="C38" s="40">
        <f t="shared" si="2"/>
        <v>47714.455000000002</v>
      </c>
      <c r="D38" s="12" t="str">
        <f t="shared" si="3"/>
        <v>vis</v>
      </c>
      <c r="E38" s="48">
        <f>VLOOKUP(C38,Active!C$21:E$973,3,FALSE)</f>
        <v>18373.069258413812</v>
      </c>
      <c r="F38" s="4" t="s">
        <v>58</v>
      </c>
      <c r="G38" s="12" t="str">
        <f t="shared" si="4"/>
        <v>47714.455</v>
      </c>
      <c r="H38" s="40">
        <f t="shared" si="5"/>
        <v>-5539</v>
      </c>
      <c r="I38" s="49" t="s">
        <v>136</v>
      </c>
      <c r="J38" s="50" t="s">
        <v>137</v>
      </c>
      <c r="K38" s="49">
        <v>-5539</v>
      </c>
      <c r="L38" s="49" t="s">
        <v>138</v>
      </c>
      <c r="M38" s="50" t="s">
        <v>99</v>
      </c>
      <c r="N38" s="50"/>
      <c r="O38" s="51" t="s">
        <v>139</v>
      </c>
      <c r="P38" s="51" t="s">
        <v>124</v>
      </c>
    </row>
    <row r="39" spans="1:16" ht="12.75" customHeight="1" thickBot="1" x14ac:dyDescent="0.25">
      <c r="A39" s="40" t="str">
        <f t="shared" si="0"/>
        <v> BRNO 30 </v>
      </c>
      <c r="B39" s="4" t="str">
        <f t="shared" si="1"/>
        <v>I</v>
      </c>
      <c r="C39" s="40">
        <f t="shared" si="2"/>
        <v>47714.457999999999</v>
      </c>
      <c r="D39" s="12" t="str">
        <f t="shared" si="3"/>
        <v>vis</v>
      </c>
      <c r="E39" s="48">
        <f>VLOOKUP(C39,Active!C$21:E$973,3,FALSE)</f>
        <v>18373.072063874733</v>
      </c>
      <c r="F39" s="4" t="s">
        <v>58</v>
      </c>
      <c r="G39" s="12" t="str">
        <f t="shared" si="4"/>
        <v>47714.458</v>
      </c>
      <c r="H39" s="40">
        <f t="shared" si="5"/>
        <v>-5539</v>
      </c>
      <c r="I39" s="49" t="s">
        <v>140</v>
      </c>
      <c r="J39" s="50" t="s">
        <v>141</v>
      </c>
      <c r="K39" s="49">
        <v>-5539</v>
      </c>
      <c r="L39" s="49" t="s">
        <v>114</v>
      </c>
      <c r="M39" s="50" t="s">
        <v>99</v>
      </c>
      <c r="N39" s="50"/>
      <c r="O39" s="51" t="s">
        <v>142</v>
      </c>
      <c r="P39" s="51" t="s">
        <v>124</v>
      </c>
    </row>
    <row r="40" spans="1:16" ht="12.75" customHeight="1" thickBot="1" x14ac:dyDescent="0.25">
      <c r="A40" s="40" t="str">
        <f t="shared" si="0"/>
        <v> BRNO 31 </v>
      </c>
      <c r="B40" s="4" t="str">
        <f t="shared" si="1"/>
        <v>I</v>
      </c>
      <c r="C40" s="40">
        <f t="shared" si="2"/>
        <v>48038.470999999998</v>
      </c>
      <c r="D40" s="12" t="str">
        <f t="shared" si="3"/>
        <v>vis</v>
      </c>
      <c r="E40" s="48">
        <f>VLOOKUP(C40,Active!C$21:E$973,3,FALSE)</f>
        <v>18676.074000577923</v>
      </c>
      <c r="F40" s="4" t="s">
        <v>58</v>
      </c>
      <c r="G40" s="12" t="str">
        <f t="shared" si="4"/>
        <v>48038.471</v>
      </c>
      <c r="H40" s="40">
        <f t="shared" si="5"/>
        <v>-5236</v>
      </c>
      <c r="I40" s="49" t="s">
        <v>143</v>
      </c>
      <c r="J40" s="50" t="s">
        <v>144</v>
      </c>
      <c r="K40" s="49">
        <v>-5236</v>
      </c>
      <c r="L40" s="49" t="s">
        <v>127</v>
      </c>
      <c r="M40" s="50" t="s">
        <v>99</v>
      </c>
      <c r="N40" s="50"/>
      <c r="O40" s="51" t="s">
        <v>135</v>
      </c>
      <c r="P40" s="51" t="s">
        <v>145</v>
      </c>
    </row>
    <row r="41" spans="1:16" ht="12.75" customHeight="1" thickBot="1" x14ac:dyDescent="0.25">
      <c r="A41" s="40" t="str">
        <f t="shared" si="0"/>
        <v> BBS 123 </v>
      </c>
      <c r="B41" s="4" t="str">
        <f t="shared" si="1"/>
        <v>I</v>
      </c>
      <c r="C41" s="40">
        <f t="shared" si="2"/>
        <v>51769.420599999998</v>
      </c>
      <c r="D41" s="12" t="str">
        <f t="shared" si="3"/>
        <v>vis</v>
      </c>
      <c r="E41" s="48">
        <f>VLOOKUP(C41,Active!C$21:E$973,3,FALSE)</f>
        <v>22165.085103657104</v>
      </c>
      <c r="F41" s="4" t="s">
        <v>58</v>
      </c>
      <c r="G41" s="12" t="str">
        <f t="shared" si="4"/>
        <v>51769.4206</v>
      </c>
      <c r="H41" s="40">
        <f t="shared" si="5"/>
        <v>-1747</v>
      </c>
      <c r="I41" s="49" t="s">
        <v>159</v>
      </c>
      <c r="J41" s="50" t="s">
        <v>160</v>
      </c>
      <c r="K41" s="49">
        <v>-1747</v>
      </c>
      <c r="L41" s="49" t="s">
        <v>161</v>
      </c>
      <c r="M41" s="50" t="s">
        <v>149</v>
      </c>
      <c r="N41" s="50" t="s">
        <v>156</v>
      </c>
      <c r="O41" s="51" t="s">
        <v>162</v>
      </c>
      <c r="P41" s="51" t="s">
        <v>163</v>
      </c>
    </row>
    <row r="42" spans="1:16" ht="12.75" customHeight="1" thickBot="1" x14ac:dyDescent="0.25">
      <c r="A42" s="40" t="str">
        <f t="shared" si="0"/>
        <v> BBS 126 </v>
      </c>
      <c r="B42" s="4" t="str">
        <f t="shared" si="1"/>
        <v>I</v>
      </c>
      <c r="C42" s="40">
        <f t="shared" si="2"/>
        <v>52094.502</v>
      </c>
      <c r="D42" s="12" t="str">
        <f t="shared" si="3"/>
        <v>vis</v>
      </c>
      <c r="E42" s="48">
        <f>VLOOKUP(C42,Active!C$21:E$973,3,FALSE)</f>
        <v>22469.086158510414</v>
      </c>
      <c r="F42" s="4" t="s">
        <v>58</v>
      </c>
      <c r="G42" s="12" t="str">
        <f t="shared" si="4"/>
        <v>52094.502</v>
      </c>
      <c r="H42" s="40">
        <f t="shared" si="5"/>
        <v>-1443</v>
      </c>
      <c r="I42" s="49" t="s">
        <v>164</v>
      </c>
      <c r="J42" s="50" t="s">
        <v>165</v>
      </c>
      <c r="K42" s="49">
        <v>-1443</v>
      </c>
      <c r="L42" s="49" t="s">
        <v>166</v>
      </c>
      <c r="M42" s="50" t="s">
        <v>149</v>
      </c>
      <c r="N42" s="50" t="s">
        <v>156</v>
      </c>
      <c r="O42" s="51" t="s">
        <v>162</v>
      </c>
      <c r="P42" s="51" t="s">
        <v>167</v>
      </c>
    </row>
    <row r="43" spans="1:16" ht="12.75" customHeight="1" thickBot="1" x14ac:dyDescent="0.25">
      <c r="A43" s="40" t="str">
        <f t="shared" si="0"/>
        <v>OEJV 0107 </v>
      </c>
      <c r="B43" s="4" t="str">
        <f t="shared" si="1"/>
        <v>I</v>
      </c>
      <c r="C43" s="40">
        <f t="shared" si="2"/>
        <v>53633.291299999997</v>
      </c>
      <c r="D43" s="12" t="str">
        <f t="shared" si="3"/>
        <v>vis</v>
      </c>
      <c r="E43" s="48">
        <f>VLOOKUP(C43,Active!C$21:E$973,3,FALSE)</f>
        <v>23908.090575241058</v>
      </c>
      <c r="F43" s="4" t="s">
        <v>58</v>
      </c>
      <c r="G43" s="12" t="str">
        <f t="shared" si="4"/>
        <v>53633.2913</v>
      </c>
      <c r="H43" s="40">
        <f t="shared" si="5"/>
        <v>-4</v>
      </c>
      <c r="I43" s="49" t="s">
        <v>184</v>
      </c>
      <c r="J43" s="50" t="s">
        <v>185</v>
      </c>
      <c r="K43" s="49">
        <v>-4</v>
      </c>
      <c r="L43" s="49" t="s">
        <v>186</v>
      </c>
      <c r="M43" s="50" t="s">
        <v>187</v>
      </c>
      <c r="N43" s="50" t="s">
        <v>188</v>
      </c>
      <c r="O43" s="51" t="s">
        <v>189</v>
      </c>
      <c r="P43" s="52" t="s">
        <v>190</v>
      </c>
    </row>
    <row r="44" spans="1:16" ht="12.75" customHeight="1" thickBot="1" x14ac:dyDescent="0.25">
      <c r="A44" s="40" t="str">
        <f t="shared" si="0"/>
        <v>OEJV 0107 </v>
      </c>
      <c r="B44" s="4" t="str">
        <f t="shared" si="1"/>
        <v>I</v>
      </c>
      <c r="C44" s="40">
        <f t="shared" si="2"/>
        <v>53989.381200000003</v>
      </c>
      <c r="D44" s="12" t="str">
        <f t="shared" si="3"/>
        <v>vis</v>
      </c>
      <c r="E44" s="48">
        <f>VLOOKUP(C44,Active!C$21:E$973,3,FALSE)</f>
        <v>24241.089341773411</v>
      </c>
      <c r="F44" s="4" t="s">
        <v>58</v>
      </c>
      <c r="G44" s="12" t="str">
        <f t="shared" si="4"/>
        <v>53989.3812</v>
      </c>
      <c r="H44" s="40">
        <f t="shared" si="5"/>
        <v>329</v>
      </c>
      <c r="I44" s="49" t="s">
        <v>191</v>
      </c>
      <c r="J44" s="50" t="s">
        <v>192</v>
      </c>
      <c r="K44" s="49">
        <v>329</v>
      </c>
      <c r="L44" s="49" t="s">
        <v>181</v>
      </c>
      <c r="M44" s="50" t="s">
        <v>187</v>
      </c>
      <c r="N44" s="50" t="s">
        <v>188</v>
      </c>
      <c r="O44" s="51" t="s">
        <v>189</v>
      </c>
      <c r="P44" s="52" t="s">
        <v>190</v>
      </c>
    </row>
    <row r="45" spans="1:16" ht="12.75" customHeight="1" thickBot="1" x14ac:dyDescent="0.25">
      <c r="A45" s="40" t="str">
        <f t="shared" si="0"/>
        <v>OEJV 0107 </v>
      </c>
      <c r="B45" s="4" t="str">
        <f t="shared" si="1"/>
        <v>I</v>
      </c>
      <c r="C45" s="40">
        <f t="shared" si="2"/>
        <v>54019.322800000002</v>
      </c>
      <c r="D45" s="12" t="str">
        <f t="shared" si="3"/>
        <v>vis</v>
      </c>
      <c r="E45" s="48">
        <f>VLOOKUP(C45,Active!C$21:E$973,3,FALSE)</f>
        <v>24269.089338032794</v>
      </c>
      <c r="F45" s="4" t="s">
        <v>58</v>
      </c>
      <c r="G45" s="12" t="str">
        <f t="shared" si="4"/>
        <v>54019.3228</v>
      </c>
      <c r="H45" s="40">
        <f t="shared" si="5"/>
        <v>357</v>
      </c>
      <c r="I45" s="49" t="s">
        <v>193</v>
      </c>
      <c r="J45" s="50" t="s">
        <v>194</v>
      </c>
      <c r="K45" s="49">
        <v>357</v>
      </c>
      <c r="L45" s="49" t="s">
        <v>195</v>
      </c>
      <c r="M45" s="50" t="s">
        <v>187</v>
      </c>
      <c r="N45" s="50" t="s">
        <v>188</v>
      </c>
      <c r="O45" s="51" t="s">
        <v>189</v>
      </c>
      <c r="P45" s="52" t="s">
        <v>190</v>
      </c>
    </row>
    <row r="46" spans="1:16" ht="12.75" customHeight="1" thickBot="1" x14ac:dyDescent="0.25">
      <c r="A46" s="40" t="str">
        <f t="shared" si="0"/>
        <v>BAVM 193 </v>
      </c>
      <c r="B46" s="4" t="str">
        <f t="shared" si="1"/>
        <v>I</v>
      </c>
      <c r="C46" s="40">
        <f t="shared" si="2"/>
        <v>54314.462</v>
      </c>
      <c r="D46" s="12" t="str">
        <f t="shared" si="3"/>
        <v>vis</v>
      </c>
      <c r="E46" s="48">
        <f>VLOOKUP(C46,Active!C$21:E$973,3,FALSE)</f>
        <v>24545.089835534531</v>
      </c>
      <c r="F46" s="4" t="s">
        <v>58</v>
      </c>
      <c r="G46" s="12" t="str">
        <f t="shared" si="4"/>
        <v>54314.4620</v>
      </c>
      <c r="H46" s="40">
        <f t="shared" si="5"/>
        <v>633</v>
      </c>
      <c r="I46" s="49" t="s">
        <v>196</v>
      </c>
      <c r="J46" s="50" t="s">
        <v>197</v>
      </c>
      <c r="K46" s="49">
        <v>633</v>
      </c>
      <c r="L46" s="49" t="s">
        <v>198</v>
      </c>
      <c r="M46" s="50" t="s">
        <v>187</v>
      </c>
      <c r="N46" s="50" t="s">
        <v>199</v>
      </c>
      <c r="O46" s="51" t="s">
        <v>200</v>
      </c>
      <c r="P46" s="52" t="s">
        <v>201</v>
      </c>
    </row>
    <row r="47" spans="1:16" ht="12.75" customHeight="1" thickBot="1" x14ac:dyDescent="0.25">
      <c r="A47" s="40" t="str">
        <f t="shared" si="0"/>
        <v>BAVM 193 </v>
      </c>
      <c r="B47" s="4" t="str">
        <f t="shared" si="1"/>
        <v>I</v>
      </c>
      <c r="C47" s="40">
        <f t="shared" si="2"/>
        <v>54375.414700000001</v>
      </c>
      <c r="D47" s="12" t="str">
        <f t="shared" si="3"/>
        <v>vis</v>
      </c>
      <c r="E47" s="48">
        <f>VLOOKUP(C47,Active!C$21:E$973,3,FALSE)</f>
        <v>24602.089974872422</v>
      </c>
      <c r="F47" s="4" t="s">
        <v>58</v>
      </c>
      <c r="G47" s="12" t="str">
        <f t="shared" si="4"/>
        <v>54375.4147</v>
      </c>
      <c r="H47" s="40">
        <f t="shared" si="5"/>
        <v>690</v>
      </c>
      <c r="I47" s="49" t="s">
        <v>202</v>
      </c>
      <c r="J47" s="50" t="s">
        <v>203</v>
      </c>
      <c r="K47" s="49" t="s">
        <v>204</v>
      </c>
      <c r="L47" s="49" t="s">
        <v>205</v>
      </c>
      <c r="M47" s="50" t="s">
        <v>187</v>
      </c>
      <c r="N47" s="50" t="s">
        <v>199</v>
      </c>
      <c r="O47" s="51" t="s">
        <v>200</v>
      </c>
      <c r="P47" s="52" t="s">
        <v>201</v>
      </c>
    </row>
    <row r="48" spans="1:16" ht="12.75" customHeight="1" thickBot="1" x14ac:dyDescent="0.25">
      <c r="A48" s="40" t="str">
        <f t="shared" si="0"/>
        <v>BAVM 193 </v>
      </c>
      <c r="B48" s="4" t="str">
        <f t="shared" si="1"/>
        <v>I</v>
      </c>
      <c r="C48" s="40">
        <f t="shared" si="2"/>
        <v>54389.315199999997</v>
      </c>
      <c r="D48" s="12" t="str">
        <f t="shared" si="3"/>
        <v>vis</v>
      </c>
      <c r="E48" s="48">
        <f>VLOOKUP(C48,Active!C$21:E$973,3,FALSE)</f>
        <v>24615.089078060078</v>
      </c>
      <c r="F48" s="4" t="s">
        <v>58</v>
      </c>
      <c r="G48" s="12" t="str">
        <f t="shared" si="4"/>
        <v>54389.3152</v>
      </c>
      <c r="H48" s="40">
        <f t="shared" si="5"/>
        <v>703</v>
      </c>
      <c r="I48" s="49" t="s">
        <v>206</v>
      </c>
      <c r="J48" s="50" t="s">
        <v>207</v>
      </c>
      <c r="K48" s="49" t="s">
        <v>208</v>
      </c>
      <c r="L48" s="49" t="s">
        <v>209</v>
      </c>
      <c r="M48" s="50" t="s">
        <v>187</v>
      </c>
      <c r="N48" s="50" t="s">
        <v>199</v>
      </c>
      <c r="O48" s="51" t="s">
        <v>200</v>
      </c>
      <c r="P48" s="52" t="s">
        <v>201</v>
      </c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</sheetData>
  <phoneticPr fontId="7" type="noConversion"/>
  <hyperlinks>
    <hyperlink ref="A3" r:id="rId1"/>
    <hyperlink ref="P15" r:id="rId2" display="http://www.bav-astro.de/sfs/BAVM_link.php?BAVMnr=80"/>
    <hyperlink ref="P17" r:id="rId3" display="http://www.konkoly.hu/cgi-bin/IBVS?5583"/>
    <hyperlink ref="P18" r:id="rId4" display="http://www.konkoly.hu/cgi-bin/IBVS?5583"/>
    <hyperlink ref="P19" r:id="rId5" display="http://www.konkoly.hu/cgi-bin/IBVS?5583"/>
    <hyperlink ref="P20" r:id="rId6" display="http://www.konkoly.hu/cgi-bin/IBVS?5741"/>
    <hyperlink ref="P43" r:id="rId7" display="http://var.astro.cz/oejv/issues/oejv0107.pdf"/>
    <hyperlink ref="P44" r:id="rId8" display="http://var.astro.cz/oejv/issues/oejv0107.pdf"/>
    <hyperlink ref="P45" r:id="rId9" display="http://var.astro.cz/oejv/issues/oejv0107.pdf"/>
    <hyperlink ref="P46" r:id="rId10" display="http://www.bav-astro.de/sfs/BAVM_link.php?BAVMnr=193"/>
    <hyperlink ref="P47" r:id="rId11" display="http://www.bav-astro.de/sfs/BAVM_link.php?BAVMnr=193"/>
    <hyperlink ref="P48" r:id="rId12" display="http://www.bav-astro.de/sfs/BAVM_link.php?BAVMnr=193"/>
    <hyperlink ref="P21" r:id="rId13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2024-01-11T03:59:12Z</dcterms:modified>
</cp:coreProperties>
</file>