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DA58A0E-D6D2-4AC8-B2E9-37A4BD77570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8" i="1" l="1"/>
  <c r="F16" i="1"/>
  <c r="F17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11" i="2"/>
  <c r="C11" i="2"/>
  <c r="G30" i="2"/>
  <c r="C30" i="2"/>
  <c r="G31" i="2"/>
  <c r="C31" i="2"/>
  <c r="G32" i="2"/>
  <c r="C32" i="2"/>
  <c r="G33" i="2"/>
  <c r="C33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12" i="2"/>
  <c r="C12" i="2"/>
  <c r="G56" i="2"/>
  <c r="C56" i="2"/>
  <c r="G13" i="2"/>
  <c r="C13" i="2"/>
  <c r="G14" i="2"/>
  <c r="C14" i="2"/>
  <c r="G15" i="2"/>
  <c r="C15" i="2"/>
  <c r="G16" i="2"/>
  <c r="C16" i="2"/>
  <c r="G17" i="2"/>
  <c r="C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56" i="2"/>
  <c r="D56" i="2"/>
  <c r="B56" i="2"/>
  <c r="A56" i="2"/>
  <c r="H12" i="2"/>
  <c r="D12" i="2"/>
  <c r="B12" i="2"/>
  <c r="A12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11" i="2"/>
  <c r="D11" i="2"/>
  <c r="B11" i="2"/>
  <c r="A11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64" i="1"/>
  <c r="Q66" i="1"/>
  <c r="Q65" i="1"/>
  <c r="Q61" i="1"/>
  <c r="Q63" i="1"/>
  <c r="C7" i="1"/>
  <c r="E57" i="1"/>
  <c r="F57" i="1"/>
  <c r="C17" i="1"/>
  <c r="Q34" i="1"/>
  <c r="E29" i="2"/>
  <c r="E39" i="2"/>
  <c r="E16" i="2"/>
  <c r="E44" i="2"/>
  <c r="E27" i="2"/>
  <c r="E25" i="2"/>
  <c r="E20" i="2"/>
  <c r="E19" i="2"/>
  <c r="E52" i="2"/>
  <c r="E36" i="2"/>
  <c r="E56" i="2"/>
  <c r="E35" i="2"/>
  <c r="E23" i="2"/>
  <c r="E64" i="1"/>
  <c r="F64" i="1"/>
  <c r="G64" i="1"/>
  <c r="J64" i="1"/>
  <c r="G49" i="1"/>
  <c r="I49" i="1"/>
  <c r="E39" i="1"/>
  <c r="G32" i="1"/>
  <c r="I32" i="1"/>
  <c r="E22" i="1"/>
  <c r="F22" i="1"/>
  <c r="G22" i="1"/>
  <c r="G56" i="1"/>
  <c r="J56" i="1"/>
  <c r="E47" i="1"/>
  <c r="G41" i="1"/>
  <c r="I41" i="1"/>
  <c r="E30" i="1"/>
  <c r="F30" i="1"/>
  <c r="G30" i="1"/>
  <c r="I30" i="1"/>
  <c r="E54" i="1"/>
  <c r="E61" i="1"/>
  <c r="F61" i="1"/>
  <c r="G61" i="1"/>
  <c r="I61" i="1"/>
  <c r="E44" i="1"/>
  <c r="F44" i="1"/>
  <c r="E36" i="1"/>
  <c r="F36" i="1"/>
  <c r="G36" i="1"/>
  <c r="I36" i="1"/>
  <c r="E27" i="1"/>
  <c r="F27" i="1"/>
  <c r="E59" i="1"/>
  <c r="E62" i="1"/>
  <c r="F62" i="1"/>
  <c r="G62" i="1"/>
  <c r="J62" i="1"/>
  <c r="E49" i="1"/>
  <c r="F49" i="1"/>
  <c r="E41" i="1"/>
  <c r="F41" i="1"/>
  <c r="G35" i="1"/>
  <c r="I35" i="1"/>
  <c r="E32" i="1"/>
  <c r="F32" i="1"/>
  <c r="G26" i="1"/>
  <c r="I26" i="1"/>
  <c r="E24" i="1"/>
  <c r="F24" i="1"/>
  <c r="G24" i="1"/>
  <c r="I24" i="1"/>
  <c r="E56" i="1"/>
  <c r="F56" i="1"/>
  <c r="G66" i="1"/>
  <c r="J66" i="1"/>
  <c r="E65" i="1"/>
  <c r="F65" i="1"/>
  <c r="G65" i="1"/>
  <c r="J65" i="1"/>
  <c r="G48" i="1"/>
  <c r="I48" i="1"/>
  <c r="E46" i="1"/>
  <c r="G40" i="1"/>
  <c r="I40" i="1"/>
  <c r="E38" i="1"/>
  <c r="G31" i="1"/>
  <c r="I31" i="1"/>
  <c r="E29" i="1"/>
  <c r="F29" i="1"/>
  <c r="G29" i="1"/>
  <c r="I29" i="1"/>
  <c r="G23" i="1"/>
  <c r="I23" i="1"/>
  <c r="E21" i="1"/>
  <c r="F21" i="1"/>
  <c r="G21" i="1"/>
  <c r="I21" i="1"/>
  <c r="E53" i="1"/>
  <c r="F53" i="1"/>
  <c r="G53" i="1"/>
  <c r="J53" i="1"/>
  <c r="E51" i="1"/>
  <c r="E43" i="1"/>
  <c r="E35" i="1"/>
  <c r="F35" i="1"/>
  <c r="E26" i="1"/>
  <c r="F26" i="1"/>
  <c r="E58" i="1"/>
  <c r="E66" i="1"/>
  <c r="F66" i="1"/>
  <c r="E48" i="1"/>
  <c r="F48" i="1"/>
  <c r="E40" i="1"/>
  <c r="F40" i="1"/>
  <c r="E31" i="1"/>
  <c r="F31" i="1"/>
  <c r="E23" i="1"/>
  <c r="F23" i="1"/>
  <c r="G57" i="1"/>
  <c r="J57" i="1"/>
  <c r="E55" i="1"/>
  <c r="E34" i="1"/>
  <c r="F34" i="1"/>
  <c r="E63" i="1"/>
  <c r="E45" i="1"/>
  <c r="F45" i="1"/>
  <c r="G45" i="1"/>
  <c r="I45" i="1"/>
  <c r="E37" i="1"/>
  <c r="F37" i="1"/>
  <c r="G37" i="1"/>
  <c r="I37" i="1"/>
  <c r="E28" i="1"/>
  <c r="F28" i="1"/>
  <c r="G28" i="1"/>
  <c r="I28" i="1"/>
  <c r="E60" i="1"/>
  <c r="F60" i="1"/>
  <c r="G60" i="1"/>
  <c r="J60" i="1"/>
  <c r="E52" i="1"/>
  <c r="F52" i="1"/>
  <c r="G52" i="1"/>
  <c r="J52" i="1"/>
  <c r="E50" i="1"/>
  <c r="G44" i="1"/>
  <c r="I44" i="1"/>
  <c r="E42" i="1"/>
  <c r="E33" i="1"/>
  <c r="F33" i="1"/>
  <c r="G33" i="1"/>
  <c r="I33" i="1"/>
  <c r="G27" i="1"/>
  <c r="I27" i="1"/>
  <c r="E25" i="1"/>
  <c r="F25" i="1"/>
  <c r="G25" i="1"/>
  <c r="I25" i="1"/>
  <c r="I22" i="1"/>
  <c r="E26" i="2"/>
  <c r="E46" i="2"/>
  <c r="F51" i="1"/>
  <c r="G51" i="1"/>
  <c r="I51" i="1"/>
  <c r="E33" i="2"/>
  <c r="F38" i="1"/>
  <c r="G38" i="1"/>
  <c r="E18" i="2"/>
  <c r="E43" i="2"/>
  <c r="F63" i="1"/>
  <c r="G63" i="1"/>
  <c r="J63" i="1"/>
  <c r="E13" i="2"/>
  <c r="F47" i="1"/>
  <c r="G47" i="1"/>
  <c r="I47" i="1"/>
  <c r="E42" i="2"/>
  <c r="E40" i="2"/>
  <c r="E24" i="2"/>
  <c r="E48" i="2"/>
  <c r="E15" i="2"/>
  <c r="E12" i="2"/>
  <c r="E41" i="2"/>
  <c r="F46" i="1"/>
  <c r="G46" i="1"/>
  <c r="I46" i="1"/>
  <c r="E55" i="2"/>
  <c r="E30" i="2"/>
  <c r="E17" i="2"/>
  <c r="E22" i="2"/>
  <c r="E54" i="2"/>
  <c r="F59" i="1"/>
  <c r="G59" i="1"/>
  <c r="J59" i="1"/>
  <c r="E37" i="2"/>
  <c r="F42" i="1"/>
  <c r="G42" i="1"/>
  <c r="I42" i="1"/>
  <c r="E47" i="2"/>
  <c r="F55" i="1"/>
  <c r="G55" i="1"/>
  <c r="J55" i="1"/>
  <c r="E50" i="2"/>
  <c r="E11" i="2"/>
  <c r="E32" i="2"/>
  <c r="E45" i="2"/>
  <c r="F50" i="1"/>
  <c r="G50" i="1"/>
  <c r="I50" i="1"/>
  <c r="F54" i="1"/>
  <c r="G54" i="1"/>
  <c r="J54" i="1"/>
  <c r="E49" i="2"/>
  <c r="E14" i="2"/>
  <c r="E38" i="2"/>
  <c r="F43" i="1"/>
  <c r="G43" i="1"/>
  <c r="I43" i="1"/>
  <c r="F39" i="1"/>
  <c r="G39" i="1"/>
  <c r="I39" i="1"/>
  <c r="E34" i="2"/>
  <c r="E51" i="2"/>
  <c r="E31" i="2"/>
  <c r="E21" i="2"/>
  <c r="E28" i="2"/>
  <c r="E53" i="2"/>
  <c r="F58" i="1"/>
  <c r="G58" i="1"/>
  <c r="J58" i="1"/>
  <c r="I38" i="1"/>
  <c r="C12" i="1"/>
  <c r="C11" i="1"/>
  <c r="O28" i="1" l="1"/>
  <c r="O29" i="1"/>
  <c r="O41" i="1"/>
  <c r="O60" i="1"/>
  <c r="O33" i="1"/>
  <c r="O43" i="1"/>
  <c r="O37" i="1"/>
  <c r="O22" i="1"/>
  <c r="O23" i="1"/>
  <c r="O42" i="1"/>
  <c r="O51" i="1"/>
  <c r="O38" i="1"/>
  <c r="O45" i="1"/>
  <c r="O46" i="1"/>
  <c r="O30" i="1"/>
  <c r="O40" i="1"/>
  <c r="O50" i="1"/>
  <c r="O59" i="1"/>
  <c r="O24" i="1"/>
  <c r="O52" i="1"/>
  <c r="O31" i="1"/>
  <c r="O55" i="1"/>
  <c r="O49" i="1"/>
  <c r="O36" i="1"/>
  <c r="O63" i="1"/>
  <c r="O21" i="1"/>
  <c r="O35" i="1"/>
  <c r="O53" i="1"/>
  <c r="O54" i="1"/>
  <c r="O39" i="1"/>
  <c r="O48" i="1"/>
  <c r="O58" i="1"/>
  <c r="O61" i="1"/>
  <c r="O62" i="1"/>
  <c r="O64" i="1"/>
  <c r="O47" i="1"/>
  <c r="O65" i="1"/>
  <c r="O32" i="1"/>
  <c r="O57" i="1"/>
  <c r="O34" i="1"/>
  <c r="O44" i="1"/>
  <c r="O56" i="1"/>
  <c r="O66" i="1"/>
  <c r="O27" i="1"/>
  <c r="O26" i="1"/>
  <c r="C15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<sst xmlns="http://schemas.openxmlformats.org/spreadsheetml/2006/main" count="515" uniqueCount="216">
  <si>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</si>
  <si>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</si>
  <si>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</si>
  <si>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</si>
  <si>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</si>
  <si>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</si>
  <si>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</si>
  <si>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</si>
  <si>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</si>
  <si>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</si>
  <si>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</si>
  <si>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</si>
  <si>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</si>
  <si>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</si>
  <si>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</si>
  <si>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</si>
  <si>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</si>
  <si>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</si>
  <si>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</si>
  <si>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</si>
  <si>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</si>
  <si>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</si>
  <si>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</si>
  <si>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</si>
  <si>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</si>
  <si>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4888</t>
  </si>
  <si>
    <t>IBVS 5263</t>
  </si>
  <si>
    <t>I</t>
  </si>
  <si>
    <t>EB/KE:</t>
  </si>
  <si>
    <t>IBVS 5583</t>
  </si>
  <si>
    <t>Correct period?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</si>
  <si>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</si>
  <si>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</si>
  <si>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</si>
  <si>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</si>
  <si>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</si>
  <si>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</si>
  <si>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</si>
  <si>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</si>
  <si>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</si>
  <si>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</si>
  <si>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</si>
  <si>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</si>
  <si>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</si>
  <si>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</si>
  <si>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</si>
  <si>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</si>
  <si>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</si>
  <si>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</si>
  <si>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</si>
  <si>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</si>
  <si>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2431370.292 </t>
  </si>
  <si>
    <t> 06.10.1944 19:00 </t>
  </si>
  <si>
    <t> 0.150 </t>
  </si>
  <si>
    <t>P </t>
  </si>
  <si>
    <t> W.Götz </t>
  </si>
  <si>
    <t> VSS 4.278 </t>
  </si>
  <si>
    <t>2431374.280 </t>
  </si>
  <si>
    <t> 10.10.1944 18:43 </t>
  </si>
  <si>
    <t> 0.162 </t>
  </si>
  <si>
    <t>2431650.457 </t>
  </si>
  <si>
    <t> 13.07.1945 22:58 </t>
  </si>
  <si>
    <t> 0.002 </t>
  </si>
  <si>
    <t>2431670.426 </t>
  </si>
  <si>
    <t> 02.08.1945 22:13 </t>
  </si>
  <si>
    <t> 0.090 </t>
  </si>
  <si>
    <t>2433856.408 </t>
  </si>
  <si>
    <t> 28.07.1951 21:47 </t>
  </si>
  <si>
    <t> 0.028 </t>
  </si>
  <si>
    <t>2433856.469 </t>
  </si>
  <si>
    <t> 28.07.1951 23:15 </t>
  </si>
  <si>
    <t> 0.089 </t>
  </si>
  <si>
    <t>2433856.528 </t>
  </si>
  <si>
    <t> 29.07.1951 00:40 </t>
  </si>
  <si>
    <t> 0.148 </t>
  </si>
  <si>
    <t>2433858.432 </t>
  </si>
  <si>
    <t> 30.07.1951 22:22 </t>
  </si>
  <si>
    <t> 0.064 </t>
  </si>
  <si>
    <t>2433858.485 </t>
  </si>
  <si>
    <t> 30.07.1951 23:38 </t>
  </si>
  <si>
    <t> 0.117 </t>
  </si>
  <si>
    <t>2433858.538 </t>
  </si>
  <si>
    <t> 31.07.1951 00:54 </t>
  </si>
  <si>
    <t> 0.170 </t>
  </si>
  <si>
    <t>2433870.426 </t>
  </si>
  <si>
    <t> 11.08.1951 22:13 </t>
  </si>
  <si>
    <t> 0.130 </t>
  </si>
  <si>
    <t>2433870.474 </t>
  </si>
  <si>
    <t> 11.08.1951 23:22 </t>
  </si>
  <si>
    <t> 0.178 </t>
  </si>
  <si>
    <t>2434192.436 </t>
  </si>
  <si>
    <t> 28.06.1952 22:27 </t>
  </si>
  <si>
    <t> 0.078 </t>
  </si>
  <si>
    <t>2435369.358 </t>
  </si>
  <si>
    <t> 18.09.1955 20:35 </t>
  </si>
  <si>
    <t> 0.083 </t>
  </si>
  <si>
    <t>2435369.387 </t>
  </si>
  <si>
    <t> 18.09.1955 21:17 </t>
  </si>
  <si>
    <t> 0.112 </t>
  </si>
  <si>
    <t>2435369.418 </t>
  </si>
  <si>
    <t> 18.09.1955 22:01 </t>
  </si>
  <si>
    <t> 0.143 </t>
  </si>
  <si>
    <t>2435371.377 </t>
  </si>
  <si>
    <t> 20.09.1955 21:02 </t>
  </si>
  <si>
    <t> 0.114 </t>
  </si>
  <si>
    <t>2435371.407 </t>
  </si>
  <si>
    <t> 20.09.1955 21:46 </t>
  </si>
  <si>
    <t> 0.144 </t>
  </si>
  <si>
    <t>2435373.372 </t>
  </si>
  <si>
    <t> 22.09.1955 20:55 </t>
  </si>
  <si>
    <t> 0.121 </t>
  </si>
  <si>
    <t>2435397.271 </t>
  </si>
  <si>
    <t> 16.10.1955 18:30 </t>
  </si>
  <si>
    <t> 0.164 </t>
  </si>
  <si>
    <t>2435691.504 </t>
  </si>
  <si>
    <t> 06.08.1956 00:05 </t>
  </si>
  <si>
    <t> 0.167 </t>
  </si>
  <si>
    <t>2435694.557 </t>
  </si>
  <si>
    <t> 09.08.1956 01:22 </t>
  </si>
  <si>
    <t> 0.039 </t>
  </si>
  <si>
    <t>2435695.438 </t>
  </si>
  <si>
    <t> 09.08.1956 22:30 </t>
  </si>
  <si>
    <t> 0.125 </t>
  </si>
  <si>
    <t> VSS 4.279 </t>
  </si>
  <si>
    <t>2435695.472 </t>
  </si>
  <si>
    <t> 09.08.1956 23:19 </t>
  </si>
  <si>
    <t> 0.159 </t>
  </si>
  <si>
    <t>2435695.505 </t>
  </si>
  <si>
    <t> 10.08.1956 00:07 </t>
  </si>
  <si>
    <t> 0.192 </t>
  </si>
  <si>
    <t>2435698.491 </t>
  </si>
  <si>
    <t> 12.08.1956 23:47 </t>
  </si>
  <si>
    <t>2435698.533 </t>
  </si>
  <si>
    <t> 13.08.1956 00:47 </t>
  </si>
  <si>
    <t>2435700.476 </t>
  </si>
  <si>
    <t> 14.08.1956 23:25 </t>
  </si>
  <si>
    <t> -0.006 </t>
  </si>
  <si>
    <t>2435700.511 </t>
  </si>
  <si>
    <t> 15.08.1956 00:15 </t>
  </si>
  <si>
    <t> 0.029 </t>
  </si>
  <si>
    <t>2435700.542 </t>
  </si>
  <si>
    <t> 15.08.1956 01:00 </t>
  </si>
  <si>
    <t> 0.060 </t>
  </si>
  <si>
    <t>2435716.454 </t>
  </si>
  <si>
    <t> 30.08.1956 22:53 </t>
  </si>
  <si>
    <t> 0.068 </t>
  </si>
  <si>
    <t>2449924.5025 </t>
  </si>
  <si>
    <t> 26.07.1995 00:03 </t>
  </si>
  <si>
    <t> 0.0226 </t>
  </si>
  <si>
    <t>V </t>
  </si>
  <si>
    <t> P.Hajek </t>
  </si>
  <si>
    <t> BRNO 32 </t>
  </si>
  <si>
    <t> P.Sobotka </t>
  </si>
  <si>
    <t>2449924.5046 </t>
  </si>
  <si>
    <t> 26.07.1995 00:06 </t>
  </si>
  <si>
    <t> 0.0247 </t>
  </si>
  <si>
    <t> L.Brat </t>
  </si>
  <si>
    <t>2449924.5088 </t>
  </si>
  <si>
    <t> 26.07.1995 00:12 </t>
  </si>
  <si>
    <t> 0.0289 </t>
  </si>
  <si>
    <t> P.Stepan </t>
  </si>
  <si>
    <t>2449928.4330 </t>
  </si>
  <si>
    <t> 29.07.1995 22:23 </t>
  </si>
  <si>
    <t> -0.0230 </t>
  </si>
  <si>
    <t> P.Lutcha </t>
  </si>
  <si>
    <t>2449928.4379 </t>
  </si>
  <si>
    <t> 29.07.1995 22:30 </t>
  </si>
  <si>
    <t> -0.0181 </t>
  </si>
  <si>
    <t>2449928.4795 </t>
  </si>
  <si>
    <t> 29.07.1995 23:30 </t>
  </si>
  <si>
    <t> 0.0235 </t>
  </si>
  <si>
    <t>2449928.4858 </t>
  </si>
  <si>
    <t> 29.07.1995 23:39 </t>
  </si>
  <si>
    <t> 0.0298 </t>
  </si>
  <si>
    <t>2449928.5080 </t>
  </si>
  <si>
    <t> 30.07.1995 00:11 </t>
  </si>
  <si>
    <t> 0.0520 </t>
  </si>
  <si>
    <t>2450961.4510 </t>
  </si>
  <si>
    <t> 27.05.1998 22:49 </t>
  </si>
  <si>
    <t> 0.0116 </t>
  </si>
  <si>
    <t>E </t>
  </si>
  <si>
    <t>?</t>
  </si>
  <si>
    <t> J.Safar </t>
  </si>
  <si>
    <t>IBVS 4888 </t>
  </si>
  <si>
    <t>2451435.397 </t>
  </si>
  <si>
    <t> 13.09.1999 21:31 </t>
  </si>
  <si>
    <t> 0.010 </t>
  </si>
  <si>
    <t> R.Diethelm </t>
  </si>
  <si>
    <t> BBS 121 </t>
  </si>
  <si>
    <t>2451449.3166 </t>
  </si>
  <si>
    <t> 27.09.1999 19:35 </t>
  </si>
  <si>
    <t> 0.0133 </t>
  </si>
  <si>
    <t>IBVS 5263 </t>
  </si>
  <si>
    <t>2452136.38074 </t>
  </si>
  <si>
    <t> 14.08.2001 21:08 </t>
  </si>
  <si>
    <t> 0.01225 </t>
  </si>
  <si>
    <t>C </t>
  </si>
  <si>
    <t>o</t>
  </si>
  <si>
    <t> J.Šafár </t>
  </si>
  <si>
    <t>OEJV 0074 </t>
  </si>
  <si>
    <t>2452138.3664 </t>
  </si>
  <si>
    <t> 16.08.2001 20:47 </t>
  </si>
  <si>
    <t> 0.0099 </t>
  </si>
  <si>
    <t> M.Zejda </t>
  </si>
  <si>
    <t>IBVS 5583 </t>
  </si>
  <si>
    <t>2452140.35396 </t>
  </si>
  <si>
    <t> 18.08.2001 20:29 </t>
  </si>
  <si>
    <t> 0.00940 </t>
  </si>
  <si>
    <t>II</t>
  </si>
  <si>
    <t>s5</t>
  </si>
  <si>
    <t>s6</t>
  </si>
  <si>
    <t>s7</t>
  </si>
  <si>
    <t>Add cycle</t>
  </si>
  <si>
    <t>Old Cycle</t>
  </si>
  <si>
    <t>Checked by ToMcat 2016-06-14</t>
  </si>
  <si>
    <t>V0919 Aql / gsc 5131-0734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</si>
</sst>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 vertical="top"/>
    </xf>
    <xf numFmtId="0" fontId="13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V0919 Aql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C-4D95-9FBB-5EDE6799A4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-5.266000000119675E-3</c:v>
                </c:pt>
                <c:pt idx="1">
                  <c:v>-2.7760000011767261E-3</c:v>
                </c:pt>
                <c:pt idx="2">
                  <c:v>-2.1619000002829125E-2</c:v>
                </c:pt>
                <c:pt idx="3">
                  <c:v>1.9830999997793697E-2</c:v>
                </c:pt>
                <c:pt idx="4">
                  <c:v>-5.0403999994159676E-2</c:v>
                </c:pt>
                <c:pt idx="5">
                  <c:v>1.0596000000077765E-2</c:v>
                </c:pt>
                <c:pt idx="6">
                  <c:v>6.9596000001183711E-2</c:v>
                </c:pt>
                <c:pt idx="7">
                  <c:v>-1.9159000003128313E-2</c:v>
                </c:pt>
                <c:pt idx="8">
                  <c:v>3.3840999996755272E-2</c:v>
                </c:pt>
                <c:pt idx="9">
                  <c:v>8.6840999996638857E-2</c:v>
                </c:pt>
                <c:pt idx="10">
                  <c:v>1.8310999999812339E-2</c:v>
                </c:pt>
                <c:pt idx="11">
                  <c:v>6.6311000002315268E-2</c:v>
                </c:pt>
                <c:pt idx="12">
                  <c:v>-8.9699999807635322E-4</c:v>
                </c:pt>
                <c:pt idx="14">
                  <c:v>2.9000000002270099E-2</c:v>
                </c:pt>
                <c:pt idx="15">
                  <c:v>5.9999999997671694E-2</c:v>
                </c:pt>
                <c:pt idx="16">
                  <c:v>2.6245000000926666E-2</c:v>
                </c:pt>
                <c:pt idx="17">
                  <c:v>5.6244999999762513E-2</c:v>
                </c:pt>
                <c:pt idx="18">
                  <c:v>2.8490000004239846E-2</c:v>
                </c:pt>
                <c:pt idx="19">
                  <c:v>1.4430000002903398E-2</c:v>
                </c:pt>
                <c:pt idx="20">
                  <c:v>0.11679200000071432</c:v>
                </c:pt>
                <c:pt idx="21">
                  <c:v>-1.8616000001202337E-2</c:v>
                </c:pt>
                <c:pt idx="22">
                  <c:v>6.5282000003207941E-2</c:v>
                </c:pt>
                <c:pt idx="23">
                  <c:v>9.9282000002858695E-2</c:v>
                </c:pt>
                <c:pt idx="24">
                  <c:v>0.13228199999866774</c:v>
                </c:pt>
                <c:pt idx="25">
                  <c:v>-7.0125999998708721E-2</c:v>
                </c:pt>
                <c:pt idx="26">
                  <c:v>-2.8125999997428153E-2</c:v>
                </c:pt>
                <c:pt idx="27">
                  <c:v>-7.7880999997432809E-2</c:v>
                </c:pt>
                <c:pt idx="28">
                  <c:v>-4.2881000001216307E-2</c:v>
                </c:pt>
                <c:pt idx="29">
                  <c:v>-1.1880999998538755E-2</c:v>
                </c:pt>
                <c:pt idx="30">
                  <c:v>-4.1921000003640074E-2</c:v>
                </c:pt>
                <c:pt idx="40">
                  <c:v>-1.9222000002628192E-2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C-4D95-9FBB-5EDE6799A4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1">
                  <c:v>6.197999999858439E-2</c:v>
                </c:pt>
                <c:pt idx="32">
                  <c:v>6.197999999858439E-2</c:v>
                </c:pt>
                <c:pt idx="33">
                  <c:v>6.4079999996465631E-2</c:v>
                </c:pt>
                <c:pt idx="34">
                  <c:v>6.8279999999504071E-2</c:v>
                </c:pt>
                <c:pt idx="35">
                  <c:v>6.9699999949079938E-3</c:v>
                </c:pt>
                <c:pt idx="36">
                  <c:v>1.1869999994814862E-2</c:v>
                </c:pt>
                <c:pt idx="37">
                  <c:v>5.3469999998924322E-2</c:v>
                </c:pt>
                <c:pt idx="38">
                  <c:v>5.9769999999844003E-2</c:v>
                </c:pt>
                <c:pt idx="39">
                  <c:v>8.1969999999273568E-2</c:v>
                </c:pt>
                <c:pt idx="41">
                  <c:v>4.9638999997114297E-2</c:v>
                </c:pt>
                <c:pt idx="42">
                  <c:v>1.9953999995777849E-2</c:v>
                </c:pt>
                <c:pt idx="43">
                  <c:v>-1.7830000004323665E-2</c:v>
                </c:pt>
                <c:pt idx="44">
                  <c:v>-2.492500000516884E-2</c:v>
                </c:pt>
                <c:pt idx="45">
                  <c:v>-3.0120000003080349E-2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EC-4D95-9FBB-5EDE6799A4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EC-4D95-9FBB-5EDE6799A4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EC-4D95-9FBB-5EDE6799A4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EC-4D95-9FBB-5EDE6799A4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EC-4D95-9FBB-5EDE6799A4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1.6910841346264787E-2</c:v>
                </c:pt>
                <c:pt idx="1">
                  <c:v>1.691324450882618E-2</c:v>
                </c:pt>
                <c:pt idx="2">
                  <c:v>1.707978367433062E-2</c:v>
                </c:pt>
                <c:pt idx="3">
                  <c:v>1.7091799487137578E-2</c:v>
                </c:pt>
                <c:pt idx="4">
                  <c:v>1.8409934152060884E-2</c:v>
                </c:pt>
                <c:pt idx="5">
                  <c:v>1.8409934152060884E-2</c:v>
                </c:pt>
                <c:pt idx="6">
                  <c:v>1.8409934152060884E-2</c:v>
                </c:pt>
                <c:pt idx="7">
                  <c:v>1.8411135733341581E-2</c:v>
                </c:pt>
                <c:pt idx="8">
                  <c:v>1.8411135733341581E-2</c:v>
                </c:pt>
                <c:pt idx="9">
                  <c:v>1.8411135733341581E-2</c:v>
                </c:pt>
                <c:pt idx="10">
                  <c:v>1.8418345221025756E-2</c:v>
                </c:pt>
                <c:pt idx="11">
                  <c:v>1.8418345221025756E-2</c:v>
                </c:pt>
                <c:pt idx="12">
                  <c:v>1.8612520755986198E-2</c:v>
                </c:pt>
                <c:pt idx="13">
                  <c:v>1.9322174660365145E-2</c:v>
                </c:pt>
                <c:pt idx="14">
                  <c:v>1.9322174660365145E-2</c:v>
                </c:pt>
                <c:pt idx="15">
                  <c:v>1.9322174660365145E-2</c:v>
                </c:pt>
                <c:pt idx="16">
                  <c:v>1.9323376241645842E-2</c:v>
                </c:pt>
                <c:pt idx="17">
                  <c:v>1.9323376241645842E-2</c:v>
                </c:pt>
                <c:pt idx="18">
                  <c:v>1.9324577822926538E-2</c:v>
                </c:pt>
                <c:pt idx="19">
                  <c:v>1.9338996798294886E-2</c:v>
                </c:pt>
                <c:pt idx="20">
                  <c:v>1.9516350195325587E-2</c:v>
                </c:pt>
                <c:pt idx="21">
                  <c:v>1.9518272725374701E-2</c:v>
                </c:pt>
                <c:pt idx="22">
                  <c:v>1.951875335788698E-2</c:v>
                </c:pt>
                <c:pt idx="23">
                  <c:v>1.951875335788698E-2</c:v>
                </c:pt>
                <c:pt idx="24">
                  <c:v>1.951875335788698E-2</c:v>
                </c:pt>
                <c:pt idx="25">
                  <c:v>1.9520675887936094E-2</c:v>
                </c:pt>
                <c:pt idx="26">
                  <c:v>1.9520675887936094E-2</c:v>
                </c:pt>
                <c:pt idx="27">
                  <c:v>1.952187746921679E-2</c:v>
                </c:pt>
                <c:pt idx="28">
                  <c:v>1.952187746921679E-2</c:v>
                </c:pt>
                <c:pt idx="29">
                  <c:v>1.952187746921679E-2</c:v>
                </c:pt>
                <c:pt idx="30">
                  <c:v>1.9531490119462355E-2</c:v>
                </c:pt>
                <c:pt idx="31">
                  <c:v>2.8098524334567367E-2</c:v>
                </c:pt>
                <c:pt idx="32">
                  <c:v>2.8098524334567367E-2</c:v>
                </c:pt>
                <c:pt idx="33">
                  <c:v>2.8098524334567367E-2</c:v>
                </c:pt>
                <c:pt idx="34">
                  <c:v>2.8098524334567367E-2</c:v>
                </c:pt>
                <c:pt idx="35">
                  <c:v>2.8100927497128756E-2</c:v>
                </c:pt>
                <c:pt idx="36">
                  <c:v>2.8100927497128756E-2</c:v>
                </c:pt>
                <c:pt idx="37">
                  <c:v>2.8100927497128756E-2</c:v>
                </c:pt>
                <c:pt idx="38">
                  <c:v>2.8100927497128756E-2</c:v>
                </c:pt>
                <c:pt idx="39">
                  <c:v>2.8100927497128756E-2</c:v>
                </c:pt>
                <c:pt idx="40">
                  <c:v>2.8723827233041468E-2</c:v>
                </c:pt>
                <c:pt idx="41">
                  <c:v>2.9009563261590932E-2</c:v>
                </c:pt>
                <c:pt idx="42">
                  <c:v>2.90179743305558E-2</c:v>
                </c:pt>
                <c:pt idx="43">
                  <c:v>2.9432279556139716E-2</c:v>
                </c:pt>
                <c:pt idx="44">
                  <c:v>2.9433481137420413E-2</c:v>
                </c:pt>
                <c:pt idx="45">
                  <c:v>2.9434682718701109E-2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EC-4D95-9FBB-5EDE6799A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553584"/>
        <c:axId val="1"/>
      </c:scatterChart>
      <c:valAx>
        <c:axId val="69655358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5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9386912257939"/>
          <c:y val="0.92073298764483702"/>
          <c:w val="0.655897116253037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V0919 Aql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28-4DDB-952B-C66F15AF70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-5.266000000119675E-3</c:v>
                </c:pt>
                <c:pt idx="1">
                  <c:v>-2.7760000011767261E-3</c:v>
                </c:pt>
                <c:pt idx="2">
                  <c:v>-2.1619000002829125E-2</c:v>
                </c:pt>
                <c:pt idx="3">
                  <c:v>1.9830999997793697E-2</c:v>
                </c:pt>
                <c:pt idx="4">
                  <c:v>-5.0403999994159676E-2</c:v>
                </c:pt>
                <c:pt idx="5">
                  <c:v>1.0596000000077765E-2</c:v>
                </c:pt>
                <c:pt idx="6">
                  <c:v>6.9596000001183711E-2</c:v>
                </c:pt>
                <c:pt idx="7">
                  <c:v>-1.9159000003128313E-2</c:v>
                </c:pt>
                <c:pt idx="8">
                  <c:v>3.3840999996755272E-2</c:v>
                </c:pt>
                <c:pt idx="9">
                  <c:v>8.6840999996638857E-2</c:v>
                </c:pt>
                <c:pt idx="10">
                  <c:v>1.8310999999812339E-2</c:v>
                </c:pt>
                <c:pt idx="11">
                  <c:v>6.6311000002315268E-2</c:v>
                </c:pt>
                <c:pt idx="12">
                  <c:v>-8.9699999807635322E-4</c:v>
                </c:pt>
                <c:pt idx="14">
                  <c:v>2.9000000002270099E-2</c:v>
                </c:pt>
                <c:pt idx="15">
                  <c:v>5.9999999997671694E-2</c:v>
                </c:pt>
                <c:pt idx="16">
                  <c:v>2.6245000000926666E-2</c:v>
                </c:pt>
                <c:pt idx="17">
                  <c:v>5.6244999999762513E-2</c:v>
                </c:pt>
                <c:pt idx="18">
                  <c:v>2.8490000004239846E-2</c:v>
                </c:pt>
                <c:pt idx="19">
                  <c:v>1.4430000002903398E-2</c:v>
                </c:pt>
                <c:pt idx="20">
                  <c:v>0.11679200000071432</c:v>
                </c:pt>
                <c:pt idx="21">
                  <c:v>-1.8616000001202337E-2</c:v>
                </c:pt>
                <c:pt idx="22">
                  <c:v>6.5282000003207941E-2</c:v>
                </c:pt>
                <c:pt idx="23">
                  <c:v>9.9282000002858695E-2</c:v>
                </c:pt>
                <c:pt idx="24">
                  <c:v>0.13228199999866774</c:v>
                </c:pt>
                <c:pt idx="25">
                  <c:v>-7.0125999998708721E-2</c:v>
                </c:pt>
                <c:pt idx="26">
                  <c:v>-2.8125999997428153E-2</c:v>
                </c:pt>
                <c:pt idx="27">
                  <c:v>-7.7880999997432809E-2</c:v>
                </c:pt>
                <c:pt idx="28">
                  <c:v>-4.2881000001216307E-2</c:v>
                </c:pt>
                <c:pt idx="29">
                  <c:v>-1.1880999998538755E-2</c:v>
                </c:pt>
                <c:pt idx="30">
                  <c:v>-4.1921000003640074E-2</c:v>
                </c:pt>
                <c:pt idx="40">
                  <c:v>-1.9222000002628192E-2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8-4DDB-952B-C66F15AF70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1">
                  <c:v>6.197999999858439E-2</c:v>
                </c:pt>
                <c:pt idx="32">
                  <c:v>6.197999999858439E-2</c:v>
                </c:pt>
                <c:pt idx="33">
                  <c:v>6.4079999996465631E-2</c:v>
                </c:pt>
                <c:pt idx="34">
                  <c:v>6.8279999999504071E-2</c:v>
                </c:pt>
                <c:pt idx="35">
                  <c:v>6.9699999949079938E-3</c:v>
                </c:pt>
                <c:pt idx="36">
                  <c:v>1.1869999994814862E-2</c:v>
                </c:pt>
                <c:pt idx="37">
                  <c:v>5.3469999998924322E-2</c:v>
                </c:pt>
                <c:pt idx="38">
                  <c:v>5.9769999999844003E-2</c:v>
                </c:pt>
                <c:pt idx="39">
                  <c:v>8.1969999999273568E-2</c:v>
                </c:pt>
                <c:pt idx="41">
                  <c:v>4.9638999997114297E-2</c:v>
                </c:pt>
                <c:pt idx="42">
                  <c:v>1.9953999995777849E-2</c:v>
                </c:pt>
                <c:pt idx="43">
                  <c:v>-1.7830000004323665E-2</c:v>
                </c:pt>
                <c:pt idx="44">
                  <c:v>-2.492500000516884E-2</c:v>
                </c:pt>
                <c:pt idx="45">
                  <c:v>-3.0120000003080349E-2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28-4DDB-952B-C66F15AF70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28-4DDB-952B-C66F15AF70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28-4DDB-952B-C66F15AF70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28-4DDB-952B-C66F15AF70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2.2000000000000001E-3</c:v>
                  </c:pt>
                  <c:pt idx="41">
                    <c:v>0</c:v>
                  </c:pt>
                  <c:pt idx="42">
                    <c:v>2.5999999999999999E-3</c:v>
                  </c:pt>
                  <c:pt idx="43">
                    <c:v>2.5000000000000001E-3</c:v>
                  </c:pt>
                  <c:pt idx="44">
                    <c:v>4.0000000000000001E-3</c:v>
                  </c:pt>
                  <c:pt idx="4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28-4DDB-952B-C66F15AF70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-5017</c:v>
                </c:pt>
                <c:pt idx="1">
                  <c:v>-5012</c:v>
                </c:pt>
                <c:pt idx="2">
                  <c:v>-4665.5</c:v>
                </c:pt>
                <c:pt idx="3">
                  <c:v>-4640.5</c:v>
                </c:pt>
                <c:pt idx="4">
                  <c:v>-1898</c:v>
                </c:pt>
                <c:pt idx="5">
                  <c:v>-1898</c:v>
                </c:pt>
                <c:pt idx="6">
                  <c:v>-1898</c:v>
                </c:pt>
                <c:pt idx="7">
                  <c:v>-1895.5</c:v>
                </c:pt>
                <c:pt idx="8">
                  <c:v>-1895.5</c:v>
                </c:pt>
                <c:pt idx="9">
                  <c:v>-1895.5</c:v>
                </c:pt>
                <c:pt idx="10">
                  <c:v>-1880.5</c:v>
                </c:pt>
                <c:pt idx="11">
                  <c:v>-1880.5</c:v>
                </c:pt>
                <c:pt idx="12">
                  <c:v>-1476.5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2.5</c:v>
                </c:pt>
                <c:pt idx="17">
                  <c:v>2.5</c:v>
                </c:pt>
                <c:pt idx="18">
                  <c:v>5</c:v>
                </c:pt>
                <c:pt idx="19">
                  <c:v>35</c:v>
                </c:pt>
                <c:pt idx="20">
                  <c:v>404</c:v>
                </c:pt>
                <c:pt idx="21">
                  <c:v>408</c:v>
                </c:pt>
                <c:pt idx="22">
                  <c:v>409</c:v>
                </c:pt>
                <c:pt idx="23">
                  <c:v>409</c:v>
                </c:pt>
                <c:pt idx="24">
                  <c:v>409</c:v>
                </c:pt>
                <c:pt idx="25">
                  <c:v>413</c:v>
                </c:pt>
                <c:pt idx="26">
                  <c:v>413</c:v>
                </c:pt>
                <c:pt idx="27">
                  <c:v>415.5</c:v>
                </c:pt>
                <c:pt idx="28">
                  <c:v>415.5</c:v>
                </c:pt>
                <c:pt idx="29">
                  <c:v>415.5</c:v>
                </c:pt>
                <c:pt idx="30">
                  <c:v>435.5</c:v>
                </c:pt>
                <c:pt idx="31">
                  <c:v>18260</c:v>
                </c:pt>
                <c:pt idx="32">
                  <c:v>18260</c:v>
                </c:pt>
                <c:pt idx="33">
                  <c:v>18260</c:v>
                </c:pt>
                <c:pt idx="34">
                  <c:v>18260</c:v>
                </c:pt>
                <c:pt idx="35">
                  <c:v>18265</c:v>
                </c:pt>
                <c:pt idx="36">
                  <c:v>18265</c:v>
                </c:pt>
                <c:pt idx="37">
                  <c:v>18265</c:v>
                </c:pt>
                <c:pt idx="38">
                  <c:v>18265</c:v>
                </c:pt>
                <c:pt idx="39">
                  <c:v>18265</c:v>
                </c:pt>
                <c:pt idx="40">
                  <c:v>19561</c:v>
                </c:pt>
                <c:pt idx="41">
                  <c:v>20155.5</c:v>
                </c:pt>
                <c:pt idx="42">
                  <c:v>20173</c:v>
                </c:pt>
                <c:pt idx="43">
                  <c:v>21035</c:v>
                </c:pt>
                <c:pt idx="44">
                  <c:v>21037.5</c:v>
                </c:pt>
                <c:pt idx="45">
                  <c:v>21040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1.6910841346264787E-2</c:v>
                </c:pt>
                <c:pt idx="1">
                  <c:v>1.691324450882618E-2</c:v>
                </c:pt>
                <c:pt idx="2">
                  <c:v>1.707978367433062E-2</c:v>
                </c:pt>
                <c:pt idx="3">
                  <c:v>1.7091799487137578E-2</c:v>
                </c:pt>
                <c:pt idx="4">
                  <c:v>1.8409934152060884E-2</c:v>
                </c:pt>
                <c:pt idx="5">
                  <c:v>1.8409934152060884E-2</c:v>
                </c:pt>
                <c:pt idx="6">
                  <c:v>1.8409934152060884E-2</c:v>
                </c:pt>
                <c:pt idx="7">
                  <c:v>1.8411135733341581E-2</c:v>
                </c:pt>
                <c:pt idx="8">
                  <c:v>1.8411135733341581E-2</c:v>
                </c:pt>
                <c:pt idx="9">
                  <c:v>1.8411135733341581E-2</c:v>
                </c:pt>
                <c:pt idx="10">
                  <c:v>1.8418345221025756E-2</c:v>
                </c:pt>
                <c:pt idx="11">
                  <c:v>1.8418345221025756E-2</c:v>
                </c:pt>
                <c:pt idx="12">
                  <c:v>1.8612520755986198E-2</c:v>
                </c:pt>
                <c:pt idx="13">
                  <c:v>1.9322174660365145E-2</c:v>
                </c:pt>
                <c:pt idx="14">
                  <c:v>1.9322174660365145E-2</c:v>
                </c:pt>
                <c:pt idx="15">
                  <c:v>1.9322174660365145E-2</c:v>
                </c:pt>
                <c:pt idx="16">
                  <c:v>1.9323376241645842E-2</c:v>
                </c:pt>
                <c:pt idx="17">
                  <c:v>1.9323376241645842E-2</c:v>
                </c:pt>
                <c:pt idx="18">
                  <c:v>1.9324577822926538E-2</c:v>
                </c:pt>
                <c:pt idx="19">
                  <c:v>1.9338996798294886E-2</c:v>
                </c:pt>
                <c:pt idx="20">
                  <c:v>1.9516350195325587E-2</c:v>
                </c:pt>
                <c:pt idx="21">
                  <c:v>1.9518272725374701E-2</c:v>
                </c:pt>
                <c:pt idx="22">
                  <c:v>1.951875335788698E-2</c:v>
                </c:pt>
                <c:pt idx="23">
                  <c:v>1.951875335788698E-2</c:v>
                </c:pt>
                <c:pt idx="24">
                  <c:v>1.951875335788698E-2</c:v>
                </c:pt>
                <c:pt idx="25">
                  <c:v>1.9520675887936094E-2</c:v>
                </c:pt>
                <c:pt idx="26">
                  <c:v>1.9520675887936094E-2</c:v>
                </c:pt>
                <c:pt idx="27">
                  <c:v>1.952187746921679E-2</c:v>
                </c:pt>
                <c:pt idx="28">
                  <c:v>1.952187746921679E-2</c:v>
                </c:pt>
                <c:pt idx="29">
                  <c:v>1.952187746921679E-2</c:v>
                </c:pt>
                <c:pt idx="30">
                  <c:v>1.9531490119462355E-2</c:v>
                </c:pt>
                <c:pt idx="31">
                  <c:v>2.8098524334567367E-2</c:v>
                </c:pt>
                <c:pt idx="32">
                  <c:v>2.8098524334567367E-2</c:v>
                </c:pt>
                <c:pt idx="33">
                  <c:v>2.8098524334567367E-2</c:v>
                </c:pt>
                <c:pt idx="34">
                  <c:v>2.8098524334567367E-2</c:v>
                </c:pt>
                <c:pt idx="35">
                  <c:v>2.8100927497128756E-2</c:v>
                </c:pt>
                <c:pt idx="36">
                  <c:v>2.8100927497128756E-2</c:v>
                </c:pt>
                <c:pt idx="37">
                  <c:v>2.8100927497128756E-2</c:v>
                </c:pt>
                <c:pt idx="38">
                  <c:v>2.8100927497128756E-2</c:v>
                </c:pt>
                <c:pt idx="39">
                  <c:v>2.8100927497128756E-2</c:v>
                </c:pt>
                <c:pt idx="40">
                  <c:v>2.8723827233041468E-2</c:v>
                </c:pt>
                <c:pt idx="41">
                  <c:v>2.9009563261590932E-2</c:v>
                </c:pt>
                <c:pt idx="42">
                  <c:v>2.90179743305558E-2</c:v>
                </c:pt>
                <c:pt idx="43">
                  <c:v>2.9432279556139716E-2</c:v>
                </c:pt>
                <c:pt idx="44">
                  <c:v>2.9433481137420413E-2</c:v>
                </c:pt>
                <c:pt idx="45">
                  <c:v>2.9434682718701109E-2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28-4DDB-952B-C66F15AF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74072"/>
        <c:axId val="1"/>
      </c:scatterChart>
      <c:valAx>
        <c:axId val="56927407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27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4193548387097"/>
          <c:y val="0.92097264437689974"/>
          <c:w val="0.6548387096774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666750</xdr:colOff>
      <xdr:row>18</xdr:row>
      <xdr:rowOff>114300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0B15153B-E298-C5C7-8128-E721D5FA8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28575</xdr:rowOff>
    </xdr:from>
    <xdr:to>
      <xdr:col>26</xdr:col>
      <xdr:colOff>619125</xdr:colOff>
      <xdr:row>18</xdr:row>
      <xdr:rowOff>76200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D6BA7AF2-4EAB-AF74-5663-ADD7CB003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263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215</v>
      </c>
    </row>
    <row r="2" spans="1:6" x14ac:dyDescent="0.2">
      <c r="A2" t="s">
        <v>24</v>
      </c>
      <c r="B2" s="15" t="s">
        <v>28</v>
      </c>
      <c r="C2" s="16" t="s">
        <v>30</v>
      </c>
    </row>
    <row r="3" spans="1:6" ht="13.5" thickBot="1" x14ac:dyDescent="0.25">
      <c r="C3" s="53" t="s">
        <v>214</v>
      </c>
    </row>
    <row r="4" spans="1:6" ht="14.25" thickTop="1" thickBot="1" x14ac:dyDescent="0.25">
      <c r="A4" s="7" t="s">
        <v>0</v>
      </c>
      <c r="C4" s="3">
        <v>35369.358</v>
      </c>
      <c r="D4" s="4">
        <v>0.79710199999999998</v>
      </c>
    </row>
    <row r="5" spans="1:6" ht="13.5" thickTop="1" x14ac:dyDescent="0.2">
      <c r="A5" s="18" t="s">
        <v>32</v>
      </c>
      <c r="B5" s="15"/>
      <c r="C5" s="19">
        <v>-9.5</v>
      </c>
      <c r="D5" s="15" t="s">
        <v>33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35369.358</v>
      </c>
    </row>
    <row r="8" spans="1:6" x14ac:dyDescent="0.2">
      <c r="A8" t="s">
        <v>3</v>
      </c>
      <c r="C8">
        <f>+D4</f>
        <v>0.79710199999999998</v>
      </c>
    </row>
    <row r="9" spans="1:6" x14ac:dyDescent="0.2">
      <c r="A9" s="31" t="s">
        <v>37</v>
      </c>
      <c r="B9" s="32">
        <v>22</v>
      </c>
      <c r="C9" s="21" t="str">
        <f>"F"&amp;B9</f>
        <v>F22</v>
      </c>
      <c r="D9" s="14" t="str">
        <f>"G"&amp;B9</f>
        <v>G22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20">
        <f ca="1">INTERCEPT(INDIRECT($D$9):G992,INDIRECT($C$9):F992)</f>
        <v>1.9322174660365145E-2</v>
      </c>
      <c r="D11" s="5"/>
      <c r="E11" s="15"/>
    </row>
    <row r="12" spans="1:6" x14ac:dyDescent="0.2">
      <c r="A12" s="15" t="s">
        <v>17</v>
      </c>
      <c r="B12" s="15"/>
      <c r="C12" s="20">
        <f ca="1">SLOPE(INDIRECT($D$9):G992,INDIRECT($C$9):F992)</f>
        <v>4.8063251227832528E-7</v>
      </c>
      <c r="D12" s="5"/>
      <c r="E12" s="15"/>
    </row>
    <row r="13" spans="1:6" x14ac:dyDescent="0.2">
      <c r="A13" s="15" t="s">
        <v>19</v>
      </c>
      <c r="B13" s="15"/>
      <c r="C13" s="5" t="s">
        <v>14</v>
      </c>
      <c r="D13" s="5"/>
      <c r="E13" s="15"/>
    </row>
    <row r="14" spans="1:6" x14ac:dyDescent="0.2">
      <c r="A14" s="15"/>
      <c r="B14" s="15"/>
      <c r="C14" s="15"/>
      <c r="D14" s="15"/>
      <c r="E14" s="15"/>
    </row>
    <row r="15" spans="1:6" x14ac:dyDescent="0.2">
      <c r="A15" s="22" t="s">
        <v>18</v>
      </c>
      <c r="B15" s="15"/>
      <c r="C15" s="23">
        <f ca="1">(C7+C11)+(C8+C12)*INT(MAX(F21:F3533))</f>
        <v>52140.413514682718</v>
      </c>
      <c r="E15" s="24" t="s">
        <v>212</v>
      </c>
      <c r="F15" s="52">
        <v>1</v>
      </c>
    </row>
    <row r="16" spans="1:6" x14ac:dyDescent="0.2">
      <c r="A16" s="26" t="s">
        <v>4</v>
      </c>
      <c r="B16" s="15"/>
      <c r="C16" s="27">
        <f ca="1">+C8+C12</f>
        <v>0.79710248063251221</v>
      </c>
      <c r="E16" s="24" t="s">
        <v>34</v>
      </c>
      <c r="F16" s="25">
        <f ca="1">NOW()+15018.5+$C$5/24</f>
        <v>60320.726377893516</v>
      </c>
    </row>
    <row r="17" spans="1:17" ht="13.5" thickBot="1" x14ac:dyDescent="0.25">
      <c r="A17" s="24" t="s">
        <v>31</v>
      </c>
      <c r="B17" s="15"/>
      <c r="C17" s="15">
        <f>COUNT(C21:C2191)</f>
        <v>46</v>
      </c>
      <c r="E17" s="24" t="s">
        <v>213</v>
      </c>
      <c r="F17" s="25">
        <f ca="1">ROUND(2*(F16-$C$7)/$C$8,0)/2+F15</f>
        <v>31303.5</v>
      </c>
    </row>
    <row r="18" spans="1:17" ht="14.25" thickTop="1" thickBot="1" x14ac:dyDescent="0.25">
      <c r="A18" s="26" t="s">
        <v>5</v>
      </c>
      <c r="B18" s="15"/>
      <c r="C18" s="29">
        <f ca="1">+C15</f>
        <v>52140.413514682718</v>
      </c>
      <c r="D18" s="30">
        <f ca="1">+C16</f>
        <v>0.79710248063251221</v>
      </c>
      <c r="E18" s="24" t="s">
        <v>35</v>
      </c>
      <c r="F18" s="14">
        <f ca="1">ROUND(2*(F16-$C$15)/$C$16,0)/2+F15</f>
        <v>10263.5</v>
      </c>
    </row>
    <row r="19" spans="1:17" ht="13.5" thickTop="1" x14ac:dyDescent="0.2">
      <c r="E19" s="24" t="s">
        <v>36</v>
      </c>
      <c r="F19" s="28">
        <f ca="1">+$C$15+$C$16*F18-15018.5-$C$5/24</f>
        <v>45303.370657987842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46</v>
      </c>
      <c r="I20" s="9" t="s">
        <v>49</v>
      </c>
      <c r="J20" s="9" t="s">
        <v>43</v>
      </c>
      <c r="K20" s="9" t="s">
        <v>41</v>
      </c>
      <c r="L20" s="9" t="s">
        <v>209</v>
      </c>
      <c r="M20" s="9" t="s">
        <v>210</v>
      </c>
      <c r="N20" s="9" t="s">
        <v>211</v>
      </c>
      <c r="O20" s="9" t="s">
        <v>23</v>
      </c>
      <c r="P20" s="8" t="s">
        <v>22</v>
      </c>
      <c r="Q20" s="6" t="s">
        <v>15</v>
      </c>
    </row>
    <row r="21" spans="1:17" x14ac:dyDescent="0.2">
      <c r="A21" s="14" t="s">
        <v>56</v>
      </c>
      <c r="B21" s="5" t="s">
        <v>27</v>
      </c>
      <c r="C21" s="36">
        <v>31370.292000000001</v>
      </c>
      <c r="D21" s="36" t="s">
        <v>49</v>
      </c>
      <c r="E21">
        <f t="shared" ref="E21:E66" si="0">+(C21-C$7)/C$8</f>
        <v>-5017.006606431798</v>
      </c>
      <c r="F21">
        <f t="shared" ref="F21:F66" si="1">ROUND(2*E21,0)/2</f>
        <v>-5017</v>
      </c>
      <c r="G21">
        <f t="shared" ref="G21:G33" si="2">+C21-(C$7+F21*C$8)</f>
        <v>-5.266000000119675E-3</v>
      </c>
      <c r="I21">
        <f t="shared" ref="I21:I33" si="3">+G21</f>
        <v>-5.266000000119675E-3</v>
      </c>
      <c r="O21">
        <f t="shared" ref="O21:O66" ca="1" si="4">+C$11+C$12*$F21</f>
        <v>1.6910841346264787E-2</v>
      </c>
      <c r="Q21" s="2">
        <f t="shared" ref="Q21:Q66" si="5">+C21-15018.5</f>
        <v>16351.792000000001</v>
      </c>
    </row>
    <row r="22" spans="1:17" x14ac:dyDescent="0.2">
      <c r="A22" s="14" t="s">
        <v>56</v>
      </c>
      <c r="B22" s="5" t="s">
        <v>27</v>
      </c>
      <c r="C22" s="36">
        <v>31374.28</v>
      </c>
      <c r="D22" s="36" t="s">
        <v>49</v>
      </c>
      <c r="E22">
        <f t="shared" si="0"/>
        <v>-5012.0034826157771</v>
      </c>
      <c r="F22">
        <f t="shared" si="1"/>
        <v>-5012</v>
      </c>
      <c r="G22">
        <f t="shared" si="2"/>
        <v>-2.7760000011767261E-3</v>
      </c>
      <c r="I22">
        <f t="shared" si="3"/>
        <v>-2.7760000011767261E-3</v>
      </c>
      <c r="O22">
        <f t="shared" ca="1" si="4"/>
        <v>1.691324450882618E-2</v>
      </c>
      <c r="Q22" s="2">
        <f t="shared" si="5"/>
        <v>16355.779999999999</v>
      </c>
    </row>
    <row r="23" spans="1:17" x14ac:dyDescent="0.2">
      <c r="A23" s="14" t="s">
        <v>56</v>
      </c>
      <c r="B23" s="5" t="s">
        <v>208</v>
      </c>
      <c r="C23" s="36">
        <v>31650.456999999999</v>
      </c>
      <c r="D23" s="36" t="s">
        <v>49</v>
      </c>
      <c r="E23">
        <f t="shared" si="0"/>
        <v>-4665.5271219994456</v>
      </c>
      <c r="F23">
        <f t="shared" si="1"/>
        <v>-4665.5</v>
      </c>
      <c r="G23">
        <f t="shared" si="2"/>
        <v>-2.1619000002829125E-2</v>
      </c>
      <c r="I23">
        <f t="shared" si="3"/>
        <v>-2.1619000002829125E-2</v>
      </c>
      <c r="O23">
        <f t="shared" ca="1" si="4"/>
        <v>1.707978367433062E-2</v>
      </c>
      <c r="Q23" s="2">
        <f t="shared" si="5"/>
        <v>16631.956999999999</v>
      </c>
    </row>
    <row r="24" spans="1:17" x14ac:dyDescent="0.2">
      <c r="A24" s="14" t="s">
        <v>56</v>
      </c>
      <c r="B24" s="5" t="s">
        <v>208</v>
      </c>
      <c r="C24" s="36">
        <v>31670.425999999999</v>
      </c>
      <c r="D24" s="36" t="s">
        <v>49</v>
      </c>
      <c r="E24">
        <f t="shared" si="0"/>
        <v>-4640.475121126281</v>
      </c>
      <c r="F24">
        <f t="shared" si="1"/>
        <v>-4640.5</v>
      </c>
      <c r="G24">
        <f t="shared" si="2"/>
        <v>1.9830999997793697E-2</v>
      </c>
      <c r="I24">
        <f t="shared" si="3"/>
        <v>1.9830999997793697E-2</v>
      </c>
      <c r="O24">
        <f t="shared" ca="1" si="4"/>
        <v>1.7091799487137578E-2</v>
      </c>
      <c r="Q24" s="2">
        <f t="shared" si="5"/>
        <v>16651.925999999999</v>
      </c>
    </row>
    <row r="25" spans="1:17" x14ac:dyDescent="0.2">
      <c r="A25" s="14" t="s">
        <v>56</v>
      </c>
      <c r="B25" s="5" t="s">
        <v>208</v>
      </c>
      <c r="C25" s="36">
        <v>33856.408000000003</v>
      </c>
      <c r="D25" s="36" t="s">
        <v>49</v>
      </c>
      <c r="E25">
        <f t="shared" si="0"/>
        <v>-1898.0632340653983</v>
      </c>
      <c r="F25">
        <f t="shared" si="1"/>
        <v>-1898</v>
      </c>
      <c r="G25">
        <f t="shared" si="2"/>
        <v>-5.0403999994159676E-2</v>
      </c>
      <c r="I25">
        <f t="shared" si="3"/>
        <v>-5.0403999994159676E-2</v>
      </c>
      <c r="O25">
        <f t="shared" ca="1" si="4"/>
        <v>1.8409934152060884E-2</v>
      </c>
      <c r="Q25" s="2">
        <f t="shared" si="5"/>
        <v>18837.908000000003</v>
      </c>
    </row>
    <row r="26" spans="1:17" x14ac:dyDescent="0.2">
      <c r="A26" s="14" t="s">
        <v>56</v>
      </c>
      <c r="B26" s="5" t="s">
        <v>208</v>
      </c>
      <c r="C26" s="36">
        <v>33856.468999999997</v>
      </c>
      <c r="D26" s="36" t="s">
        <v>49</v>
      </c>
      <c r="E26">
        <f t="shared" si="0"/>
        <v>-1897.9867068455517</v>
      </c>
      <c r="F26">
        <f t="shared" si="1"/>
        <v>-1898</v>
      </c>
      <c r="G26">
        <f t="shared" si="2"/>
        <v>1.0596000000077765E-2</v>
      </c>
      <c r="I26">
        <f t="shared" si="3"/>
        <v>1.0596000000077765E-2</v>
      </c>
      <c r="O26">
        <f t="shared" ca="1" si="4"/>
        <v>1.8409934152060884E-2</v>
      </c>
      <c r="Q26" s="2">
        <f t="shared" si="5"/>
        <v>18837.968999999997</v>
      </c>
    </row>
    <row r="27" spans="1:17" x14ac:dyDescent="0.2">
      <c r="A27" s="14" t="s">
        <v>56</v>
      </c>
      <c r="B27" s="5" t="s">
        <v>208</v>
      </c>
      <c r="C27" s="36">
        <v>33856.527999999998</v>
      </c>
      <c r="D27" s="36" t="s">
        <v>49</v>
      </c>
      <c r="E27">
        <f t="shared" si="0"/>
        <v>-1897.9126887148718</v>
      </c>
      <c r="F27">
        <f t="shared" si="1"/>
        <v>-1898</v>
      </c>
      <c r="G27">
        <f t="shared" si="2"/>
        <v>6.9596000001183711E-2</v>
      </c>
      <c r="I27">
        <f t="shared" si="3"/>
        <v>6.9596000001183711E-2</v>
      </c>
      <c r="O27">
        <f t="shared" ca="1" si="4"/>
        <v>1.8409934152060884E-2</v>
      </c>
      <c r="Q27" s="2">
        <f t="shared" si="5"/>
        <v>18838.027999999998</v>
      </c>
    </row>
    <row r="28" spans="1:17" x14ac:dyDescent="0.2">
      <c r="A28" s="14" t="s">
        <v>56</v>
      </c>
      <c r="B28" s="5" t="s">
        <v>27</v>
      </c>
      <c r="C28" s="36">
        <v>33858.432000000001</v>
      </c>
      <c r="D28" s="36" t="s">
        <v>49</v>
      </c>
      <c r="E28">
        <f t="shared" si="0"/>
        <v>-1895.5240358197564</v>
      </c>
      <c r="F28">
        <f t="shared" si="1"/>
        <v>-1895.5</v>
      </c>
      <c r="G28">
        <f t="shared" si="2"/>
        <v>-1.9159000003128313E-2</v>
      </c>
      <c r="I28">
        <f t="shared" si="3"/>
        <v>-1.9159000003128313E-2</v>
      </c>
      <c r="O28">
        <f t="shared" ca="1" si="4"/>
        <v>1.8411135733341581E-2</v>
      </c>
      <c r="Q28" s="2">
        <f t="shared" si="5"/>
        <v>18839.932000000001</v>
      </c>
    </row>
    <row r="29" spans="1:17" x14ac:dyDescent="0.2">
      <c r="A29" s="14" t="s">
        <v>56</v>
      </c>
      <c r="B29" s="5" t="s">
        <v>27</v>
      </c>
      <c r="C29" s="36">
        <v>33858.485000000001</v>
      </c>
      <c r="D29" s="36" t="s">
        <v>49</v>
      </c>
      <c r="E29">
        <f t="shared" si="0"/>
        <v>-1895.4575449566048</v>
      </c>
      <c r="F29">
        <f t="shared" si="1"/>
        <v>-1895.5</v>
      </c>
      <c r="G29">
        <f t="shared" si="2"/>
        <v>3.3840999996755272E-2</v>
      </c>
      <c r="I29">
        <f t="shared" si="3"/>
        <v>3.3840999996755272E-2</v>
      </c>
      <c r="O29">
        <f t="shared" ca="1" si="4"/>
        <v>1.8411135733341581E-2</v>
      </c>
      <c r="Q29" s="2">
        <f t="shared" si="5"/>
        <v>18839.985000000001</v>
      </c>
    </row>
    <row r="30" spans="1:17" x14ac:dyDescent="0.2">
      <c r="A30" s="14" t="s">
        <v>56</v>
      </c>
      <c r="B30" s="5" t="s">
        <v>27</v>
      </c>
      <c r="C30" s="36">
        <v>33858.538</v>
      </c>
      <c r="D30" s="36" t="s">
        <v>49</v>
      </c>
      <c r="E30">
        <f t="shared" si="0"/>
        <v>-1895.3910540934532</v>
      </c>
      <c r="F30">
        <f t="shared" si="1"/>
        <v>-1895.5</v>
      </c>
      <c r="G30">
        <f t="shared" si="2"/>
        <v>8.6840999996638857E-2</v>
      </c>
      <c r="I30">
        <f t="shared" si="3"/>
        <v>8.6840999996638857E-2</v>
      </c>
      <c r="O30">
        <f t="shared" ca="1" si="4"/>
        <v>1.8411135733341581E-2</v>
      </c>
      <c r="Q30" s="2">
        <f t="shared" si="5"/>
        <v>18840.038</v>
      </c>
    </row>
    <row r="31" spans="1:17" x14ac:dyDescent="0.2">
      <c r="A31" s="14" t="s">
        <v>56</v>
      </c>
      <c r="B31" s="5" t="s">
        <v>27</v>
      </c>
      <c r="C31" s="36">
        <v>33870.425999999999</v>
      </c>
      <c r="D31" s="36" t="s">
        <v>49</v>
      </c>
      <c r="E31">
        <f t="shared" si="0"/>
        <v>-1880.4770280340542</v>
      </c>
      <c r="F31">
        <f t="shared" si="1"/>
        <v>-1880.5</v>
      </c>
      <c r="G31">
        <f t="shared" si="2"/>
        <v>1.8310999999812339E-2</v>
      </c>
      <c r="I31">
        <f t="shared" si="3"/>
        <v>1.8310999999812339E-2</v>
      </c>
      <c r="O31">
        <f t="shared" ca="1" si="4"/>
        <v>1.8418345221025756E-2</v>
      </c>
      <c r="Q31" s="2">
        <f t="shared" si="5"/>
        <v>18851.925999999999</v>
      </c>
    </row>
    <row r="32" spans="1:17" x14ac:dyDescent="0.2">
      <c r="A32" s="14" t="s">
        <v>56</v>
      </c>
      <c r="B32" s="5" t="s">
        <v>27</v>
      </c>
      <c r="C32" s="36">
        <v>33870.474000000002</v>
      </c>
      <c r="D32" s="36" t="s">
        <v>49</v>
      </c>
      <c r="E32">
        <f t="shared" si="0"/>
        <v>-1880.4168098938383</v>
      </c>
      <c r="F32">
        <f t="shared" si="1"/>
        <v>-1880.5</v>
      </c>
      <c r="G32">
        <f t="shared" si="2"/>
        <v>6.6311000002315268E-2</v>
      </c>
      <c r="I32">
        <f t="shared" si="3"/>
        <v>6.6311000002315268E-2</v>
      </c>
      <c r="O32">
        <f t="shared" ca="1" si="4"/>
        <v>1.8418345221025756E-2</v>
      </c>
      <c r="Q32" s="2">
        <f t="shared" si="5"/>
        <v>18851.974000000002</v>
      </c>
    </row>
    <row r="33" spans="1:17" x14ac:dyDescent="0.2">
      <c r="A33" s="14" t="s">
        <v>56</v>
      </c>
      <c r="B33" s="5" t="s">
        <v>27</v>
      </c>
      <c r="C33" s="36">
        <v>34192.436000000002</v>
      </c>
      <c r="D33" s="36" t="s">
        <v>49</v>
      </c>
      <c r="E33">
        <f t="shared" si="0"/>
        <v>-1476.5011253264936</v>
      </c>
      <c r="F33">
        <f t="shared" si="1"/>
        <v>-1476.5</v>
      </c>
      <c r="G33">
        <f t="shared" si="2"/>
        <v>-8.9699999807635322E-4</v>
      </c>
      <c r="I33">
        <f t="shared" si="3"/>
        <v>-8.9699999807635322E-4</v>
      </c>
      <c r="O33">
        <f t="shared" ca="1" si="4"/>
        <v>1.8612520755986198E-2</v>
      </c>
      <c r="Q33" s="2">
        <f t="shared" si="5"/>
        <v>19173.936000000002</v>
      </c>
    </row>
    <row r="34" spans="1:17" x14ac:dyDescent="0.2">
      <c r="A34" t="s">
        <v>12</v>
      </c>
      <c r="C34" s="36">
        <v>35369.358</v>
      </c>
      <c r="D34" s="36" t="s">
        <v>14</v>
      </c>
      <c r="E34">
        <f t="shared" si="0"/>
        <v>0</v>
      </c>
      <c r="F34">
        <f t="shared" si="1"/>
        <v>0</v>
      </c>
      <c r="G34">
        <v>0</v>
      </c>
      <c r="H34" s="14">
        <v>0</v>
      </c>
      <c r="O34">
        <f t="shared" ca="1" si="4"/>
        <v>1.9322174660365145E-2</v>
      </c>
      <c r="Q34" s="2">
        <f t="shared" si="5"/>
        <v>20350.858</v>
      </c>
    </row>
    <row r="35" spans="1:17" x14ac:dyDescent="0.2">
      <c r="A35" s="14" t="s">
        <v>56</v>
      </c>
      <c r="B35" s="5" t="s">
        <v>27</v>
      </c>
      <c r="C35" s="36">
        <v>35369.387000000002</v>
      </c>
      <c r="D35" s="36" t="s">
        <v>49</v>
      </c>
      <c r="E35">
        <f t="shared" si="0"/>
        <v>3.6381793048154566E-2</v>
      </c>
      <c r="F35">
        <f t="shared" si="1"/>
        <v>0</v>
      </c>
      <c r="G35">
        <f t="shared" ref="G35:G66" si="6">+C35-(C$7+F35*C$8)</f>
        <v>2.9000000002270099E-2</v>
      </c>
      <c r="I35">
        <f t="shared" ref="I35:I51" si="7">+G35</f>
        <v>2.9000000002270099E-2</v>
      </c>
      <c r="O35">
        <f t="shared" ca="1" si="4"/>
        <v>1.9322174660365145E-2</v>
      </c>
      <c r="Q35" s="2">
        <f t="shared" si="5"/>
        <v>20350.887000000002</v>
      </c>
    </row>
    <row r="36" spans="1:17" x14ac:dyDescent="0.2">
      <c r="A36" s="14" t="s">
        <v>56</v>
      </c>
      <c r="B36" s="5" t="s">
        <v>27</v>
      </c>
      <c r="C36" s="36">
        <v>35369.417999999998</v>
      </c>
      <c r="D36" s="36" t="s">
        <v>49</v>
      </c>
      <c r="E36">
        <f t="shared" si="0"/>
        <v>7.5272675263230671E-2</v>
      </c>
      <c r="F36">
        <f t="shared" si="1"/>
        <v>0</v>
      </c>
      <c r="G36">
        <f t="shared" si="6"/>
        <v>5.9999999997671694E-2</v>
      </c>
      <c r="I36">
        <f t="shared" si="7"/>
        <v>5.9999999997671694E-2</v>
      </c>
      <c r="O36">
        <f t="shared" ca="1" si="4"/>
        <v>1.9322174660365145E-2</v>
      </c>
      <c r="Q36" s="2">
        <f t="shared" si="5"/>
        <v>20350.917999999998</v>
      </c>
    </row>
    <row r="37" spans="1:17" x14ac:dyDescent="0.2">
      <c r="A37" s="14" t="s">
        <v>56</v>
      </c>
      <c r="B37" s="5" t="s">
        <v>208</v>
      </c>
      <c r="C37" s="36">
        <v>35371.377</v>
      </c>
      <c r="D37" s="36" t="s">
        <v>49</v>
      </c>
      <c r="E37">
        <f t="shared" si="0"/>
        <v>2.5329255227062948</v>
      </c>
      <c r="F37">
        <f t="shared" si="1"/>
        <v>2.5</v>
      </c>
      <c r="G37">
        <f t="shared" si="6"/>
        <v>2.6245000000926666E-2</v>
      </c>
      <c r="I37">
        <f t="shared" si="7"/>
        <v>2.6245000000926666E-2</v>
      </c>
      <c r="O37">
        <f t="shared" ca="1" si="4"/>
        <v>1.9323376241645842E-2</v>
      </c>
      <c r="Q37" s="2">
        <f t="shared" si="5"/>
        <v>20352.877</v>
      </c>
    </row>
    <row r="38" spans="1:17" x14ac:dyDescent="0.2">
      <c r="A38" s="14" t="s">
        <v>56</v>
      </c>
      <c r="B38" s="5" t="s">
        <v>208</v>
      </c>
      <c r="C38" s="36">
        <v>35371.406999999999</v>
      </c>
      <c r="D38" s="36" t="s">
        <v>49</v>
      </c>
      <c r="E38">
        <f t="shared" si="0"/>
        <v>2.5705618603379099</v>
      </c>
      <c r="F38">
        <f t="shared" si="1"/>
        <v>2.5</v>
      </c>
      <c r="G38">
        <f t="shared" si="6"/>
        <v>5.6244999999762513E-2</v>
      </c>
      <c r="I38">
        <f t="shared" si="7"/>
        <v>5.6244999999762513E-2</v>
      </c>
      <c r="O38">
        <f t="shared" ca="1" si="4"/>
        <v>1.9323376241645842E-2</v>
      </c>
      <c r="Q38" s="2">
        <f t="shared" si="5"/>
        <v>20352.906999999999</v>
      </c>
    </row>
    <row r="39" spans="1:17" x14ac:dyDescent="0.2">
      <c r="A39" s="14" t="s">
        <v>56</v>
      </c>
      <c r="B39" s="5" t="s">
        <v>27</v>
      </c>
      <c r="C39" s="36">
        <v>35373.372000000003</v>
      </c>
      <c r="D39" s="36" t="s">
        <v>49</v>
      </c>
      <c r="E39">
        <f t="shared" si="0"/>
        <v>5.035741975309123</v>
      </c>
      <c r="F39">
        <f t="shared" si="1"/>
        <v>5</v>
      </c>
      <c r="G39">
        <f t="shared" si="6"/>
        <v>2.8490000004239846E-2</v>
      </c>
      <c r="I39">
        <f t="shared" si="7"/>
        <v>2.8490000004239846E-2</v>
      </c>
      <c r="O39">
        <f t="shared" ca="1" si="4"/>
        <v>1.9324577822926538E-2</v>
      </c>
      <c r="Q39" s="2">
        <f t="shared" si="5"/>
        <v>20354.872000000003</v>
      </c>
    </row>
    <row r="40" spans="1:17" x14ac:dyDescent="0.2">
      <c r="A40" s="14" t="s">
        <v>56</v>
      </c>
      <c r="B40" s="5" t="s">
        <v>27</v>
      </c>
      <c r="C40" s="36">
        <v>35397.271000000001</v>
      </c>
      <c r="D40" s="36" t="s">
        <v>49</v>
      </c>
      <c r="E40">
        <f t="shared" si="0"/>
        <v>35.018103078402092</v>
      </c>
      <c r="F40">
        <f t="shared" si="1"/>
        <v>35</v>
      </c>
      <c r="G40">
        <f t="shared" si="6"/>
        <v>1.4430000002903398E-2</v>
      </c>
      <c r="I40">
        <f t="shared" si="7"/>
        <v>1.4430000002903398E-2</v>
      </c>
      <c r="O40">
        <f t="shared" ca="1" si="4"/>
        <v>1.9338996798294886E-2</v>
      </c>
      <c r="Q40" s="2">
        <f t="shared" si="5"/>
        <v>20378.771000000001</v>
      </c>
    </row>
    <row r="41" spans="1:17" x14ac:dyDescent="0.2">
      <c r="A41" s="14" t="s">
        <v>56</v>
      </c>
      <c r="B41" s="5" t="s">
        <v>27</v>
      </c>
      <c r="C41" s="36">
        <v>35691.504000000001</v>
      </c>
      <c r="D41" s="36" t="s">
        <v>49</v>
      </c>
      <c r="E41">
        <f t="shared" si="0"/>
        <v>404.14652077149555</v>
      </c>
      <c r="F41">
        <f t="shared" si="1"/>
        <v>404</v>
      </c>
      <c r="G41">
        <f t="shared" si="6"/>
        <v>0.11679200000071432</v>
      </c>
      <c r="I41">
        <f t="shared" si="7"/>
        <v>0.11679200000071432</v>
      </c>
      <c r="O41">
        <f t="shared" ca="1" si="4"/>
        <v>1.9516350195325587E-2</v>
      </c>
      <c r="Q41" s="2">
        <f t="shared" si="5"/>
        <v>20673.004000000001</v>
      </c>
    </row>
    <row r="42" spans="1:17" x14ac:dyDescent="0.2">
      <c r="A42" s="14" t="s">
        <v>56</v>
      </c>
      <c r="B42" s="5" t="s">
        <v>27</v>
      </c>
      <c r="C42" s="36">
        <v>35694.557000000001</v>
      </c>
      <c r="D42" s="36" t="s">
        <v>49</v>
      </c>
      <c r="E42">
        <f t="shared" si="0"/>
        <v>407.97664539795477</v>
      </c>
      <c r="F42">
        <f t="shared" si="1"/>
        <v>408</v>
      </c>
      <c r="G42">
        <f t="shared" si="6"/>
        <v>-1.8616000001202337E-2</v>
      </c>
      <c r="I42">
        <f t="shared" si="7"/>
        <v>-1.8616000001202337E-2</v>
      </c>
      <c r="O42">
        <f t="shared" ca="1" si="4"/>
        <v>1.9518272725374701E-2</v>
      </c>
      <c r="Q42" s="2">
        <f t="shared" si="5"/>
        <v>20676.057000000001</v>
      </c>
    </row>
    <row r="43" spans="1:17" x14ac:dyDescent="0.2">
      <c r="A43" s="14" t="s">
        <v>123</v>
      </c>
      <c r="B43" s="5" t="s">
        <v>27</v>
      </c>
      <c r="C43" s="36">
        <v>35695.438000000002</v>
      </c>
      <c r="D43" s="36" t="s">
        <v>49</v>
      </c>
      <c r="E43">
        <f t="shared" si="0"/>
        <v>409.08189917978098</v>
      </c>
      <c r="F43">
        <f t="shared" si="1"/>
        <v>409</v>
      </c>
      <c r="G43">
        <f t="shared" si="6"/>
        <v>6.5282000003207941E-2</v>
      </c>
      <c r="I43">
        <f t="shared" si="7"/>
        <v>6.5282000003207941E-2</v>
      </c>
      <c r="O43">
        <f t="shared" ca="1" si="4"/>
        <v>1.951875335788698E-2</v>
      </c>
      <c r="Q43" s="2">
        <f t="shared" si="5"/>
        <v>20676.938000000002</v>
      </c>
    </row>
    <row r="44" spans="1:17" x14ac:dyDescent="0.2">
      <c r="A44" s="14" t="s">
        <v>123</v>
      </c>
      <c r="B44" s="5" t="s">
        <v>27</v>
      </c>
      <c r="C44" s="36">
        <v>35695.472000000002</v>
      </c>
      <c r="D44" s="36" t="s">
        <v>49</v>
      </c>
      <c r="E44">
        <f t="shared" si="0"/>
        <v>409.12455369576469</v>
      </c>
      <c r="F44">
        <f t="shared" si="1"/>
        <v>409</v>
      </c>
      <c r="G44">
        <f t="shared" si="6"/>
        <v>9.9282000002858695E-2</v>
      </c>
      <c r="I44">
        <f t="shared" si="7"/>
        <v>9.9282000002858695E-2</v>
      </c>
      <c r="O44">
        <f t="shared" ca="1" si="4"/>
        <v>1.951875335788698E-2</v>
      </c>
      <c r="Q44" s="2">
        <f t="shared" si="5"/>
        <v>20676.972000000002</v>
      </c>
    </row>
    <row r="45" spans="1:17" x14ac:dyDescent="0.2">
      <c r="A45" s="14" t="s">
        <v>123</v>
      </c>
      <c r="B45" s="5" t="s">
        <v>27</v>
      </c>
      <c r="C45" s="36">
        <v>35695.504999999997</v>
      </c>
      <c r="D45" s="36" t="s">
        <v>49</v>
      </c>
      <c r="E45">
        <f t="shared" si="0"/>
        <v>409.1659536671558</v>
      </c>
      <c r="F45">
        <f t="shared" si="1"/>
        <v>409</v>
      </c>
      <c r="G45">
        <f t="shared" si="6"/>
        <v>0.13228199999866774</v>
      </c>
      <c r="I45">
        <f t="shared" si="7"/>
        <v>0.13228199999866774</v>
      </c>
      <c r="O45">
        <f t="shared" ca="1" si="4"/>
        <v>1.951875335788698E-2</v>
      </c>
      <c r="Q45" s="2">
        <f t="shared" si="5"/>
        <v>20677.004999999997</v>
      </c>
    </row>
    <row r="46" spans="1:17" x14ac:dyDescent="0.2">
      <c r="A46" s="14" t="s">
        <v>123</v>
      </c>
      <c r="B46" s="5" t="s">
        <v>27</v>
      </c>
      <c r="C46" s="36">
        <v>35698.491000000002</v>
      </c>
      <c r="D46" s="36" t="s">
        <v>49</v>
      </c>
      <c r="E46">
        <f t="shared" si="0"/>
        <v>412.91202380624014</v>
      </c>
      <c r="F46">
        <f t="shared" si="1"/>
        <v>413</v>
      </c>
      <c r="G46">
        <f t="shared" si="6"/>
        <v>-7.0125999998708721E-2</v>
      </c>
      <c r="I46">
        <f t="shared" si="7"/>
        <v>-7.0125999998708721E-2</v>
      </c>
      <c r="O46">
        <f t="shared" ca="1" si="4"/>
        <v>1.9520675887936094E-2</v>
      </c>
      <c r="Q46" s="2">
        <f t="shared" si="5"/>
        <v>20679.991000000002</v>
      </c>
    </row>
    <row r="47" spans="1:17" x14ac:dyDescent="0.2">
      <c r="A47" s="14" t="s">
        <v>123</v>
      </c>
      <c r="B47" s="5" t="s">
        <v>27</v>
      </c>
      <c r="C47" s="36">
        <v>35698.533000000003</v>
      </c>
      <c r="D47" s="36" t="s">
        <v>49</v>
      </c>
      <c r="E47">
        <f t="shared" si="0"/>
        <v>412.96471467892809</v>
      </c>
      <c r="F47">
        <f t="shared" si="1"/>
        <v>413</v>
      </c>
      <c r="G47">
        <f t="shared" si="6"/>
        <v>-2.8125999997428153E-2</v>
      </c>
      <c r="I47">
        <f t="shared" si="7"/>
        <v>-2.8125999997428153E-2</v>
      </c>
      <c r="O47">
        <f t="shared" ca="1" si="4"/>
        <v>1.9520675887936094E-2</v>
      </c>
      <c r="Q47" s="2">
        <f t="shared" si="5"/>
        <v>20680.033000000003</v>
      </c>
    </row>
    <row r="48" spans="1:17" x14ac:dyDescent="0.2">
      <c r="A48" s="14" t="s">
        <v>123</v>
      </c>
      <c r="B48" s="5" t="s">
        <v>208</v>
      </c>
      <c r="C48" s="36">
        <v>35700.476000000002</v>
      </c>
      <c r="D48" s="36" t="s">
        <v>49</v>
      </c>
      <c r="E48">
        <f t="shared" si="0"/>
        <v>415.40229481296274</v>
      </c>
      <c r="F48">
        <f t="shared" si="1"/>
        <v>415.5</v>
      </c>
      <c r="G48">
        <f t="shared" si="6"/>
        <v>-7.7880999997432809E-2</v>
      </c>
      <c r="I48">
        <f t="shared" si="7"/>
        <v>-7.7880999997432809E-2</v>
      </c>
      <c r="O48">
        <f t="shared" ca="1" si="4"/>
        <v>1.952187746921679E-2</v>
      </c>
      <c r="Q48" s="2">
        <f t="shared" si="5"/>
        <v>20681.976000000002</v>
      </c>
    </row>
    <row r="49" spans="1:17" x14ac:dyDescent="0.2">
      <c r="A49" s="14" t="s">
        <v>123</v>
      </c>
      <c r="B49" s="5" t="s">
        <v>208</v>
      </c>
      <c r="C49" s="36">
        <v>35700.510999999999</v>
      </c>
      <c r="D49" s="36" t="s">
        <v>49</v>
      </c>
      <c r="E49">
        <f t="shared" si="0"/>
        <v>415.4462038735299</v>
      </c>
      <c r="F49">
        <f t="shared" si="1"/>
        <v>415.5</v>
      </c>
      <c r="G49">
        <f t="shared" si="6"/>
        <v>-4.2881000001216307E-2</v>
      </c>
      <c r="I49">
        <f t="shared" si="7"/>
        <v>-4.2881000001216307E-2</v>
      </c>
      <c r="O49">
        <f t="shared" ca="1" si="4"/>
        <v>1.952187746921679E-2</v>
      </c>
      <c r="Q49" s="2">
        <f t="shared" si="5"/>
        <v>20682.010999999999</v>
      </c>
    </row>
    <row r="50" spans="1:17" x14ac:dyDescent="0.2">
      <c r="A50" s="14" t="s">
        <v>123</v>
      </c>
      <c r="B50" s="5" t="s">
        <v>208</v>
      </c>
      <c r="C50" s="36">
        <v>35700.542000000001</v>
      </c>
      <c r="D50" s="36" t="s">
        <v>49</v>
      </c>
      <c r="E50">
        <f t="shared" si="0"/>
        <v>415.48509475575412</v>
      </c>
      <c r="F50">
        <f t="shared" si="1"/>
        <v>415.5</v>
      </c>
      <c r="G50">
        <f t="shared" si="6"/>
        <v>-1.1880999998538755E-2</v>
      </c>
      <c r="I50">
        <f t="shared" si="7"/>
        <v>-1.1880999998538755E-2</v>
      </c>
      <c r="O50">
        <f t="shared" ca="1" si="4"/>
        <v>1.952187746921679E-2</v>
      </c>
      <c r="Q50" s="2">
        <f t="shared" si="5"/>
        <v>20682.042000000001</v>
      </c>
    </row>
    <row r="51" spans="1:17" x14ac:dyDescent="0.2">
      <c r="A51" s="14" t="s">
        <v>123</v>
      </c>
      <c r="B51" s="5" t="s">
        <v>208</v>
      </c>
      <c r="C51" s="36">
        <v>35716.453999999998</v>
      </c>
      <c r="D51" s="36" t="s">
        <v>49</v>
      </c>
      <c r="E51">
        <f t="shared" si="0"/>
        <v>435.44740823633327</v>
      </c>
      <c r="F51">
        <f t="shared" si="1"/>
        <v>435.5</v>
      </c>
      <c r="G51">
        <f t="shared" si="6"/>
        <v>-4.1921000003640074E-2</v>
      </c>
      <c r="I51">
        <f t="shared" si="7"/>
        <v>-4.1921000003640074E-2</v>
      </c>
      <c r="O51">
        <f t="shared" ca="1" si="4"/>
        <v>1.9531490119462355E-2</v>
      </c>
      <c r="Q51" s="2">
        <f t="shared" si="5"/>
        <v>20697.953999999998</v>
      </c>
    </row>
    <row r="52" spans="1:17" x14ac:dyDescent="0.2">
      <c r="A52" s="14" t="s">
        <v>151</v>
      </c>
      <c r="B52" s="5" t="s">
        <v>208</v>
      </c>
      <c r="C52" s="36">
        <v>49924.502500000002</v>
      </c>
      <c r="D52" s="36" t="s">
        <v>49</v>
      </c>
      <c r="E52">
        <f t="shared" si="0"/>
        <v>18260.077756673552</v>
      </c>
      <c r="F52">
        <f t="shared" si="1"/>
        <v>18260</v>
      </c>
      <c r="G52">
        <f t="shared" si="6"/>
        <v>6.197999999858439E-2</v>
      </c>
      <c r="J52">
        <f t="shared" ref="J52:J60" si="8">+G52</f>
        <v>6.197999999858439E-2</v>
      </c>
      <c r="O52">
        <f t="shared" ca="1" si="4"/>
        <v>2.8098524334567367E-2</v>
      </c>
      <c r="Q52" s="2">
        <f t="shared" si="5"/>
        <v>34906.002500000002</v>
      </c>
    </row>
    <row r="53" spans="1:17" x14ac:dyDescent="0.2">
      <c r="A53" s="14" t="s">
        <v>151</v>
      </c>
      <c r="B53" s="5" t="s">
        <v>208</v>
      </c>
      <c r="C53" s="36">
        <v>49924.502500000002</v>
      </c>
      <c r="D53" s="36" t="s">
        <v>49</v>
      </c>
      <c r="E53">
        <f t="shared" si="0"/>
        <v>18260.077756673552</v>
      </c>
      <c r="F53">
        <f t="shared" si="1"/>
        <v>18260</v>
      </c>
      <c r="G53">
        <f t="shared" si="6"/>
        <v>6.197999999858439E-2</v>
      </c>
      <c r="J53">
        <f t="shared" si="8"/>
        <v>6.197999999858439E-2</v>
      </c>
      <c r="O53">
        <f t="shared" ca="1" si="4"/>
        <v>2.8098524334567367E-2</v>
      </c>
      <c r="Q53" s="2">
        <f t="shared" si="5"/>
        <v>34906.002500000002</v>
      </c>
    </row>
    <row r="54" spans="1:17" x14ac:dyDescent="0.2">
      <c r="A54" s="14" t="s">
        <v>151</v>
      </c>
      <c r="B54" s="5" t="s">
        <v>208</v>
      </c>
      <c r="C54" s="36">
        <v>49924.5046</v>
      </c>
      <c r="D54" s="36" t="s">
        <v>49</v>
      </c>
      <c r="E54">
        <f t="shared" si="0"/>
        <v>18260.080391217183</v>
      </c>
      <c r="F54">
        <f t="shared" si="1"/>
        <v>18260</v>
      </c>
      <c r="G54">
        <f t="shared" si="6"/>
        <v>6.4079999996465631E-2</v>
      </c>
      <c r="J54">
        <f t="shared" si="8"/>
        <v>6.4079999996465631E-2</v>
      </c>
      <c r="O54">
        <f t="shared" ca="1" si="4"/>
        <v>2.8098524334567367E-2</v>
      </c>
      <c r="Q54" s="2">
        <f t="shared" si="5"/>
        <v>34906.0046</v>
      </c>
    </row>
    <row r="55" spans="1:17" x14ac:dyDescent="0.2">
      <c r="A55" s="14" t="s">
        <v>151</v>
      </c>
      <c r="B55" s="5" t="s">
        <v>208</v>
      </c>
      <c r="C55" s="36">
        <v>49924.508800000003</v>
      </c>
      <c r="D55" s="36" t="s">
        <v>49</v>
      </c>
      <c r="E55">
        <f t="shared" si="0"/>
        <v>18260.085660304456</v>
      </c>
      <c r="F55">
        <f t="shared" si="1"/>
        <v>18260</v>
      </c>
      <c r="G55">
        <f t="shared" si="6"/>
        <v>6.8279999999504071E-2</v>
      </c>
      <c r="J55">
        <f t="shared" si="8"/>
        <v>6.8279999999504071E-2</v>
      </c>
      <c r="O55">
        <f t="shared" ca="1" si="4"/>
        <v>2.8098524334567367E-2</v>
      </c>
      <c r="Q55" s="2">
        <f t="shared" si="5"/>
        <v>34906.008800000003</v>
      </c>
    </row>
    <row r="56" spans="1:17" x14ac:dyDescent="0.2">
      <c r="A56" s="14" t="s">
        <v>151</v>
      </c>
      <c r="B56" s="5" t="s">
        <v>208</v>
      </c>
      <c r="C56" s="36">
        <v>49928.432999999997</v>
      </c>
      <c r="D56" s="36" t="s">
        <v>49</v>
      </c>
      <c r="E56">
        <f t="shared" si="0"/>
        <v>18265.008744175775</v>
      </c>
      <c r="F56">
        <f t="shared" si="1"/>
        <v>18265</v>
      </c>
      <c r="G56">
        <f t="shared" si="6"/>
        <v>6.9699999949079938E-3</v>
      </c>
      <c r="J56">
        <f t="shared" si="8"/>
        <v>6.9699999949079938E-3</v>
      </c>
      <c r="O56">
        <f t="shared" ca="1" si="4"/>
        <v>2.8100927497128756E-2</v>
      </c>
      <c r="Q56" s="2">
        <f t="shared" si="5"/>
        <v>34909.932999999997</v>
      </c>
    </row>
    <row r="57" spans="1:17" x14ac:dyDescent="0.2">
      <c r="A57" s="14" t="s">
        <v>151</v>
      </c>
      <c r="B57" s="5" t="s">
        <v>208</v>
      </c>
      <c r="C57" s="36">
        <v>49928.437899999997</v>
      </c>
      <c r="D57" s="36" t="s">
        <v>49</v>
      </c>
      <c r="E57">
        <f t="shared" si="0"/>
        <v>18265.014891444254</v>
      </c>
      <c r="F57">
        <f t="shared" si="1"/>
        <v>18265</v>
      </c>
      <c r="G57">
        <f t="shared" si="6"/>
        <v>1.1869999994814862E-2</v>
      </c>
      <c r="J57">
        <f t="shared" si="8"/>
        <v>1.1869999994814862E-2</v>
      </c>
      <c r="O57">
        <f t="shared" ca="1" si="4"/>
        <v>2.8100927497128756E-2</v>
      </c>
      <c r="Q57" s="2">
        <f t="shared" si="5"/>
        <v>34909.937899999997</v>
      </c>
    </row>
    <row r="58" spans="1:17" x14ac:dyDescent="0.2">
      <c r="A58" s="14" t="s">
        <v>151</v>
      </c>
      <c r="B58" s="5" t="s">
        <v>208</v>
      </c>
      <c r="C58" s="36">
        <v>49928.479500000001</v>
      </c>
      <c r="D58" s="36" t="s">
        <v>49</v>
      </c>
      <c r="E58">
        <f t="shared" si="0"/>
        <v>18265.06708049911</v>
      </c>
      <c r="F58">
        <f t="shared" si="1"/>
        <v>18265</v>
      </c>
      <c r="G58">
        <f t="shared" si="6"/>
        <v>5.3469999998924322E-2</v>
      </c>
      <c r="J58">
        <f t="shared" si="8"/>
        <v>5.3469999998924322E-2</v>
      </c>
      <c r="O58">
        <f t="shared" ca="1" si="4"/>
        <v>2.8100927497128756E-2</v>
      </c>
      <c r="Q58" s="2">
        <f t="shared" si="5"/>
        <v>34909.979500000001</v>
      </c>
    </row>
    <row r="59" spans="1:17" x14ac:dyDescent="0.2">
      <c r="A59" s="14" t="s">
        <v>151</v>
      </c>
      <c r="B59" s="5" t="s">
        <v>208</v>
      </c>
      <c r="C59" s="36">
        <v>49928.485800000002</v>
      </c>
      <c r="D59" s="36" t="s">
        <v>49</v>
      </c>
      <c r="E59">
        <f t="shared" si="0"/>
        <v>18265.074984130013</v>
      </c>
      <c r="F59">
        <f t="shared" si="1"/>
        <v>18265</v>
      </c>
      <c r="G59">
        <f t="shared" si="6"/>
        <v>5.9769999999844003E-2</v>
      </c>
      <c r="J59">
        <f t="shared" si="8"/>
        <v>5.9769999999844003E-2</v>
      </c>
      <c r="O59">
        <f t="shared" ca="1" si="4"/>
        <v>2.8100927497128756E-2</v>
      </c>
      <c r="Q59" s="2">
        <f t="shared" si="5"/>
        <v>34909.985800000002</v>
      </c>
    </row>
    <row r="60" spans="1:17" x14ac:dyDescent="0.2">
      <c r="A60" s="14" t="s">
        <v>151</v>
      </c>
      <c r="B60" s="5" t="s">
        <v>208</v>
      </c>
      <c r="C60" s="36">
        <v>49928.508000000002</v>
      </c>
      <c r="D60" s="36" t="s">
        <v>49</v>
      </c>
      <c r="E60">
        <f t="shared" si="0"/>
        <v>18265.102835019861</v>
      </c>
      <c r="F60">
        <f t="shared" si="1"/>
        <v>18265</v>
      </c>
      <c r="G60">
        <f t="shared" si="6"/>
        <v>8.1969999999273568E-2</v>
      </c>
      <c r="J60">
        <f t="shared" si="8"/>
        <v>8.1969999999273568E-2</v>
      </c>
      <c r="O60">
        <f t="shared" ca="1" si="4"/>
        <v>2.8100927497128756E-2</v>
      </c>
      <c r="Q60" s="2">
        <f t="shared" si="5"/>
        <v>34910.008000000002</v>
      </c>
    </row>
    <row r="61" spans="1:17" x14ac:dyDescent="0.2">
      <c r="A61" s="10" t="s">
        <v>25</v>
      </c>
      <c r="B61" s="11"/>
      <c r="C61" s="10">
        <v>50961.451000000001</v>
      </c>
      <c r="D61" s="10">
        <v>2.2000000000000001E-3</v>
      </c>
      <c r="E61">
        <f t="shared" si="0"/>
        <v>19560.975885143936</v>
      </c>
      <c r="F61">
        <f t="shared" si="1"/>
        <v>19561</v>
      </c>
      <c r="G61">
        <f t="shared" si="6"/>
        <v>-1.9222000002628192E-2</v>
      </c>
      <c r="I61">
        <f>+G61</f>
        <v>-1.9222000002628192E-2</v>
      </c>
      <c r="O61">
        <f t="shared" ca="1" si="4"/>
        <v>2.8723827233041468E-2</v>
      </c>
      <c r="Q61" s="2">
        <f t="shared" si="5"/>
        <v>35942.951000000001</v>
      </c>
    </row>
    <row r="62" spans="1:17" x14ac:dyDescent="0.2">
      <c r="A62" s="14" t="s">
        <v>188</v>
      </c>
      <c r="B62" s="5" t="s">
        <v>208</v>
      </c>
      <c r="C62" s="36">
        <v>51435.396999999997</v>
      </c>
      <c r="D62" s="36" t="s">
        <v>49</v>
      </c>
      <c r="E62">
        <f t="shared" si="0"/>
        <v>20155.56227433879</v>
      </c>
      <c r="F62">
        <f t="shared" si="1"/>
        <v>20155.5</v>
      </c>
      <c r="G62">
        <f t="shared" si="6"/>
        <v>4.9638999997114297E-2</v>
      </c>
      <c r="J62">
        <f>+G62</f>
        <v>4.9638999997114297E-2</v>
      </c>
      <c r="O62">
        <f t="shared" ca="1" si="4"/>
        <v>2.9009563261590932E-2</v>
      </c>
      <c r="Q62" s="2">
        <f t="shared" si="5"/>
        <v>36416.896999999997</v>
      </c>
    </row>
    <row r="63" spans="1:17" x14ac:dyDescent="0.2">
      <c r="A63" s="12" t="s">
        <v>26</v>
      </c>
      <c r="B63" s="13" t="s">
        <v>27</v>
      </c>
      <c r="C63" s="37">
        <v>51449.316599999998</v>
      </c>
      <c r="D63" s="37">
        <v>2.5999999999999999E-3</v>
      </c>
      <c r="E63">
        <f t="shared" si="0"/>
        <v>20173.025033182701</v>
      </c>
      <c r="F63">
        <f t="shared" si="1"/>
        <v>20173</v>
      </c>
      <c r="G63">
        <f t="shared" si="6"/>
        <v>1.9953999995777849E-2</v>
      </c>
      <c r="J63">
        <f>+G63</f>
        <v>1.9953999995777849E-2</v>
      </c>
      <c r="O63">
        <f t="shared" ca="1" si="4"/>
        <v>2.90179743305558E-2</v>
      </c>
      <c r="Q63" s="2">
        <f t="shared" si="5"/>
        <v>36430.816599999998</v>
      </c>
    </row>
    <row r="64" spans="1:17" x14ac:dyDescent="0.2">
      <c r="A64" s="33" t="s">
        <v>38</v>
      </c>
      <c r="B64" s="34" t="s">
        <v>27</v>
      </c>
      <c r="C64" s="35">
        <v>52136.380740000001</v>
      </c>
      <c r="D64" s="35">
        <v>2.5000000000000001E-3</v>
      </c>
      <c r="E64">
        <f t="shared" si="0"/>
        <v>21034.977631469999</v>
      </c>
      <c r="F64">
        <f t="shared" si="1"/>
        <v>21035</v>
      </c>
      <c r="G64">
        <f t="shared" si="6"/>
        <v>-1.7830000004323665E-2</v>
      </c>
      <c r="J64">
        <f>+G64</f>
        <v>-1.7830000004323665E-2</v>
      </c>
      <c r="O64">
        <f t="shared" ca="1" si="4"/>
        <v>2.9432279556139716E-2</v>
      </c>
      <c r="Q64" s="2">
        <f t="shared" si="5"/>
        <v>37117.880740000001</v>
      </c>
    </row>
    <row r="65" spans="1:17" x14ac:dyDescent="0.2">
      <c r="A65" t="s">
        <v>29</v>
      </c>
      <c r="B65" s="17" t="s">
        <v>27</v>
      </c>
      <c r="C65" s="38">
        <v>52138.366399999999</v>
      </c>
      <c r="D65" s="38">
        <v>4.0000000000000001E-3</v>
      </c>
      <c r="E65">
        <f t="shared" si="0"/>
        <v>21037.46873047615</v>
      </c>
      <c r="F65">
        <f t="shared" si="1"/>
        <v>21037.5</v>
      </c>
      <c r="G65">
        <f t="shared" si="6"/>
        <v>-2.492500000516884E-2</v>
      </c>
      <c r="J65">
        <f>+G65</f>
        <v>-2.492500000516884E-2</v>
      </c>
      <c r="O65">
        <f t="shared" ca="1" si="4"/>
        <v>2.9433481137420413E-2</v>
      </c>
      <c r="Q65" s="2">
        <f t="shared" si="5"/>
        <v>37119.866399999999</v>
      </c>
    </row>
    <row r="66" spans="1:17" x14ac:dyDescent="0.2">
      <c r="A66" s="33" t="s">
        <v>38</v>
      </c>
      <c r="B66" s="34" t="s">
        <v>27</v>
      </c>
      <c r="C66" s="35">
        <v>52140.35396</v>
      </c>
      <c r="D66" s="35">
        <v>1.6999999999999999E-3</v>
      </c>
      <c r="E66">
        <f t="shared" si="0"/>
        <v>21039.962213117018</v>
      </c>
      <c r="F66">
        <f t="shared" si="1"/>
        <v>21040</v>
      </c>
      <c r="G66">
        <f t="shared" si="6"/>
        <v>-3.0120000003080349E-2</v>
      </c>
      <c r="J66">
        <f>+G66</f>
        <v>-3.0120000003080349E-2</v>
      </c>
      <c r="O66">
        <f t="shared" ca="1" si="4"/>
        <v>2.9434682718701109E-2</v>
      </c>
      <c r="Q66" s="2">
        <f t="shared" si="5"/>
        <v>37121.85396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topLeftCell="A10" workbookViewId="0">
      <selection activeCell="A17" sqref="A17:D56"/>
    </sheetView>
  </sheetViews>
  <sheetFormatPr defaultRowHeight="12.75" x14ac:dyDescent="0.2"/>
  <cols>
    <col min="1" max="1" width="19.7109375" style="36" customWidth="1"/>
    <col min="2" max="2" width="4.42578125" style="15" customWidth="1"/>
    <col min="3" max="3" width="12.7109375" style="3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39</v>
      </c>
      <c r="I1" s="40" t="s">
        <v>40</v>
      </c>
      <c r="J1" s="41" t="s">
        <v>41</v>
      </c>
    </row>
    <row r="2" spans="1:16" x14ac:dyDescent="0.2">
      <c r="I2" s="42" t="s">
        <v>42</v>
      </c>
      <c r="J2" s="43" t="s">
        <v>43</v>
      </c>
    </row>
    <row r="3" spans="1:16" x14ac:dyDescent="0.2">
      <c r="A3" s="44" t="s">
        <v>44</v>
      </c>
      <c r="I3" s="42" t="s">
        <v>45</v>
      </c>
      <c r="J3" s="43" t="s">
        <v>46</v>
      </c>
    </row>
    <row r="4" spans="1:16" x14ac:dyDescent="0.2">
      <c r="I4" s="42" t="s">
        <v>47</v>
      </c>
      <c r="J4" s="43" t="s">
        <v>46</v>
      </c>
    </row>
    <row r="5" spans="1:16" ht="13.5" thickBot="1" x14ac:dyDescent="0.25">
      <c r="I5" s="45" t="s">
        <v>48</v>
      </c>
      <c r="J5" s="46" t="s">
        <v>49</v>
      </c>
    </row>
    <row r="10" spans="1:16" ht="13.5" thickBot="1" x14ac:dyDescent="0.25"/>
    <row r="11" spans="1:16" ht="12.75" customHeight="1" thickBot="1" x14ac:dyDescent="0.25">
      <c r="A11" s="36" t="str">
        <f t="shared" ref="A11:A56" si="0">P11</f>
        <v> VSS 4.278 </v>
      </c>
      <c r="B11" s="5" t="str">
        <f t="shared" ref="B11:B56" si="1">IF(H11=INT(H11),"I","II")</f>
        <v>I</v>
      </c>
      <c r="C11" s="36">
        <f t="shared" ref="C11:C56" si="2">1*G11</f>
        <v>35369.358</v>
      </c>
      <c r="D11" s="15" t="str">
        <f t="shared" ref="D11:D56" si="3">VLOOKUP(F11,I$1:J$5,2,FALSE)</f>
        <v>vis</v>
      </c>
      <c r="E11" s="47">
        <f>VLOOKUP(C11,Active!C$21:E$973,3,FALSE)</f>
        <v>0</v>
      </c>
      <c r="F11" s="5" t="s">
        <v>48</v>
      </c>
      <c r="G11" s="15" t="str">
        <f t="shared" ref="G11:G56" si="4">MID(I11,3,LEN(I11)-3)</f>
        <v>35369.358</v>
      </c>
      <c r="H11" s="36">
        <f t="shared" ref="H11:H56" si="5">1*K11</f>
        <v>-22100</v>
      </c>
      <c r="I11" s="48" t="s">
        <v>93</v>
      </c>
      <c r="J11" s="49" t="s">
        <v>94</v>
      </c>
      <c r="K11" s="48">
        <v>-22100</v>
      </c>
      <c r="L11" s="48" t="s">
        <v>95</v>
      </c>
      <c r="M11" s="49" t="s">
        <v>54</v>
      </c>
      <c r="N11" s="49"/>
      <c r="O11" s="50" t="s">
        <v>55</v>
      </c>
      <c r="P11" s="50" t="s">
        <v>56</v>
      </c>
    </row>
    <row r="12" spans="1:16" ht="12.75" customHeight="1" thickBot="1" x14ac:dyDescent="0.25">
      <c r="A12" s="36" t="str">
        <f t="shared" si="0"/>
        <v>IBVS 4888 </v>
      </c>
      <c r="B12" s="5" t="str">
        <f t="shared" si="1"/>
        <v>II</v>
      </c>
      <c r="C12" s="36">
        <f t="shared" si="2"/>
        <v>50961.451000000001</v>
      </c>
      <c r="D12" s="15" t="str">
        <f t="shared" si="3"/>
        <v>vis</v>
      </c>
      <c r="E12" s="47">
        <f>VLOOKUP(C12,Active!C$21:E$973,3,FALSE)</f>
        <v>19560.975885143936</v>
      </c>
      <c r="F12" s="5" t="s">
        <v>48</v>
      </c>
      <c r="G12" s="15" t="str">
        <f t="shared" si="4"/>
        <v>50961.4510</v>
      </c>
      <c r="H12" s="36">
        <f t="shared" si="5"/>
        <v>-2492.5</v>
      </c>
      <c r="I12" s="48" t="s">
        <v>177</v>
      </c>
      <c r="J12" s="49" t="s">
        <v>178</v>
      </c>
      <c r="K12" s="48">
        <v>-2492.5</v>
      </c>
      <c r="L12" s="48" t="s">
        <v>179</v>
      </c>
      <c r="M12" s="49" t="s">
        <v>180</v>
      </c>
      <c r="N12" s="49" t="s">
        <v>181</v>
      </c>
      <c r="O12" s="50" t="s">
        <v>182</v>
      </c>
      <c r="P12" s="51" t="s">
        <v>183</v>
      </c>
    </row>
    <row r="13" spans="1:16" ht="12.75" customHeight="1" thickBot="1" x14ac:dyDescent="0.25">
      <c r="A13" s="36" t="str">
        <f t="shared" si="0"/>
        <v>IBVS 5263 </v>
      </c>
      <c r="B13" s="5" t="str">
        <f t="shared" si="1"/>
        <v>I</v>
      </c>
      <c r="C13" s="36">
        <f t="shared" si="2"/>
        <v>51449.316599999998</v>
      </c>
      <c r="D13" s="15" t="str">
        <f t="shared" si="3"/>
        <v>vis</v>
      </c>
      <c r="E13" s="47">
        <f>VLOOKUP(C13,Active!C$21:E$973,3,FALSE)</f>
        <v>20173.025033182701</v>
      </c>
      <c r="F13" s="5" t="s">
        <v>48</v>
      </c>
      <c r="G13" s="15" t="str">
        <f t="shared" si="4"/>
        <v>51449.3166</v>
      </c>
      <c r="H13" s="36">
        <f t="shared" si="5"/>
        <v>-1879</v>
      </c>
      <c r="I13" s="48" t="s">
        <v>189</v>
      </c>
      <c r="J13" s="49" t="s">
        <v>190</v>
      </c>
      <c r="K13" s="48">
        <v>-1879</v>
      </c>
      <c r="L13" s="48" t="s">
        <v>191</v>
      </c>
      <c r="M13" s="49" t="s">
        <v>180</v>
      </c>
      <c r="N13" s="49" t="s">
        <v>181</v>
      </c>
      <c r="O13" s="50" t="s">
        <v>182</v>
      </c>
      <c r="P13" s="51" t="s">
        <v>192</v>
      </c>
    </row>
    <row r="14" spans="1:16" ht="12.75" customHeight="1" thickBot="1" x14ac:dyDescent="0.25">
      <c r="A14" s="36" t="str">
        <f t="shared" si="0"/>
        <v>OEJV 0074 </v>
      </c>
      <c r="B14" s="5" t="str">
        <f t="shared" si="1"/>
        <v>I</v>
      </c>
      <c r="C14" s="36">
        <f t="shared" si="2"/>
        <v>52136.380740000001</v>
      </c>
      <c r="D14" s="15" t="str">
        <f t="shared" si="3"/>
        <v>vis</v>
      </c>
      <c r="E14" s="47">
        <f>VLOOKUP(C14,Active!C$21:E$973,3,FALSE)</f>
        <v>21034.977631469999</v>
      </c>
      <c r="F14" s="5" t="s">
        <v>48</v>
      </c>
      <c r="G14" s="15" t="str">
        <f t="shared" si="4"/>
        <v>52136.38074</v>
      </c>
      <c r="H14" s="36">
        <f t="shared" si="5"/>
        <v>-1015</v>
      </c>
      <c r="I14" s="48" t="s">
        <v>193</v>
      </c>
      <c r="J14" s="49" t="s">
        <v>194</v>
      </c>
      <c r="K14" s="48">
        <v>-1015</v>
      </c>
      <c r="L14" s="48" t="s">
        <v>195</v>
      </c>
      <c r="M14" s="49" t="s">
        <v>196</v>
      </c>
      <c r="N14" s="49" t="s">
        <v>197</v>
      </c>
      <c r="O14" s="50" t="s">
        <v>198</v>
      </c>
      <c r="P14" s="51" t="s">
        <v>199</v>
      </c>
    </row>
    <row r="15" spans="1:16" ht="12.75" customHeight="1" thickBot="1" x14ac:dyDescent="0.25">
      <c r="A15" s="36" t="str">
        <f t="shared" si="0"/>
        <v>IBVS 5583 </v>
      </c>
      <c r="B15" s="5" t="str">
        <f t="shared" si="1"/>
        <v>II</v>
      </c>
      <c r="C15" s="36">
        <f t="shared" si="2"/>
        <v>52138.366399999999</v>
      </c>
      <c r="D15" s="15" t="str">
        <f t="shared" si="3"/>
        <v>vis</v>
      </c>
      <c r="E15" s="47">
        <f>VLOOKUP(C15,Active!C$21:E$973,3,FALSE)</f>
        <v>21037.46873047615</v>
      </c>
      <c r="F15" s="5" t="s">
        <v>48</v>
      </c>
      <c r="G15" s="15" t="str">
        <f t="shared" si="4"/>
        <v>52138.3664</v>
      </c>
      <c r="H15" s="36">
        <f t="shared" si="5"/>
        <v>-1012.5</v>
      </c>
      <c r="I15" s="48" t="s">
        <v>200</v>
      </c>
      <c r="J15" s="49" t="s">
        <v>201</v>
      </c>
      <c r="K15" s="48">
        <v>-1012.5</v>
      </c>
      <c r="L15" s="48" t="s">
        <v>202</v>
      </c>
      <c r="M15" s="49" t="s">
        <v>180</v>
      </c>
      <c r="N15" s="49" t="s">
        <v>181</v>
      </c>
      <c r="O15" s="50" t="s">
        <v>203</v>
      </c>
      <c r="P15" s="51" t="s">
        <v>204</v>
      </c>
    </row>
    <row r="16" spans="1:16" ht="12.75" customHeight="1" thickBot="1" x14ac:dyDescent="0.25">
      <c r="A16" s="36" t="str">
        <f t="shared" si="0"/>
        <v>OEJV 0074 </v>
      </c>
      <c r="B16" s="5" t="str">
        <f t="shared" si="1"/>
        <v>I</v>
      </c>
      <c r="C16" s="36">
        <f t="shared" si="2"/>
        <v>52140.35396</v>
      </c>
      <c r="D16" s="15" t="str">
        <f t="shared" si="3"/>
        <v>vis</v>
      </c>
      <c r="E16" s="47">
        <f>VLOOKUP(C16,Active!C$21:E$973,3,FALSE)</f>
        <v>21039.962213117018</v>
      </c>
      <c r="F16" s="5" t="s">
        <v>48</v>
      </c>
      <c r="G16" s="15" t="str">
        <f t="shared" si="4"/>
        <v>52140.35396</v>
      </c>
      <c r="H16" s="36">
        <f t="shared" si="5"/>
        <v>-1010</v>
      </c>
      <c r="I16" s="48" t="s">
        <v>205</v>
      </c>
      <c r="J16" s="49" t="s">
        <v>206</v>
      </c>
      <c r="K16" s="48">
        <v>-1010</v>
      </c>
      <c r="L16" s="48" t="s">
        <v>207</v>
      </c>
      <c r="M16" s="49" t="s">
        <v>196</v>
      </c>
      <c r="N16" s="49" t="s">
        <v>197</v>
      </c>
      <c r="O16" s="50" t="s">
        <v>198</v>
      </c>
      <c r="P16" s="51" t="s">
        <v>199</v>
      </c>
    </row>
    <row r="17" spans="1:16" ht="12.75" customHeight="1" thickBot="1" x14ac:dyDescent="0.25">
      <c r="A17" s="36" t="str">
        <f t="shared" si="0"/>
        <v> VSS 4.278 </v>
      </c>
      <c r="B17" s="5" t="str">
        <f t="shared" si="1"/>
        <v>I</v>
      </c>
      <c r="C17" s="36">
        <f t="shared" si="2"/>
        <v>31370.292000000001</v>
      </c>
      <c r="D17" s="15" t="str">
        <f t="shared" si="3"/>
        <v>vis</v>
      </c>
      <c r="E17" s="47">
        <f>VLOOKUP(C17,Active!C$21:E$973,3,FALSE)</f>
        <v>-5017.006606431798</v>
      </c>
      <c r="F17" s="5" t="s">
        <v>48</v>
      </c>
      <c r="G17" s="15" t="str">
        <f t="shared" si="4"/>
        <v>31370.292</v>
      </c>
      <c r="H17" s="36">
        <f t="shared" si="5"/>
        <v>-27129</v>
      </c>
      <c r="I17" s="48" t="s">
        <v>51</v>
      </c>
      <c r="J17" s="49" t="s">
        <v>52</v>
      </c>
      <c r="K17" s="48">
        <v>-27129</v>
      </c>
      <c r="L17" s="48" t="s">
        <v>53</v>
      </c>
      <c r="M17" s="49" t="s">
        <v>54</v>
      </c>
      <c r="N17" s="49"/>
      <c r="O17" s="50" t="s">
        <v>55</v>
      </c>
      <c r="P17" s="50" t="s">
        <v>56</v>
      </c>
    </row>
    <row r="18" spans="1:16" ht="12.75" customHeight="1" thickBot="1" x14ac:dyDescent="0.25">
      <c r="A18" s="36" t="str">
        <f t="shared" si="0"/>
        <v> VSS 4.278 </v>
      </c>
      <c r="B18" s="5" t="str">
        <f t="shared" si="1"/>
        <v>I</v>
      </c>
      <c r="C18" s="36">
        <f t="shared" si="2"/>
        <v>31374.28</v>
      </c>
      <c r="D18" s="15" t="str">
        <f t="shared" si="3"/>
        <v>vis</v>
      </c>
      <c r="E18" s="47">
        <f>VLOOKUP(C18,Active!C$21:E$973,3,FALSE)</f>
        <v>-5012.0034826157771</v>
      </c>
      <c r="F18" s="5" t="s">
        <v>48</v>
      </c>
      <c r="G18" s="15" t="str">
        <f t="shared" si="4"/>
        <v>31374.280</v>
      </c>
      <c r="H18" s="36">
        <f t="shared" si="5"/>
        <v>-27124</v>
      </c>
      <c r="I18" s="48" t="s">
        <v>57</v>
      </c>
      <c r="J18" s="49" t="s">
        <v>58</v>
      </c>
      <c r="K18" s="48">
        <v>-27124</v>
      </c>
      <c r="L18" s="48" t="s">
        <v>59</v>
      </c>
      <c r="M18" s="49" t="s">
        <v>54</v>
      </c>
      <c r="N18" s="49"/>
      <c r="O18" s="50" t="s">
        <v>55</v>
      </c>
      <c r="P18" s="50" t="s">
        <v>56</v>
      </c>
    </row>
    <row r="19" spans="1:16" ht="12.75" customHeight="1" thickBot="1" x14ac:dyDescent="0.25">
      <c r="A19" s="36" t="str">
        <f t="shared" si="0"/>
        <v> VSS 4.278 </v>
      </c>
      <c r="B19" s="5" t="str">
        <f t="shared" si="1"/>
        <v>II</v>
      </c>
      <c r="C19" s="36">
        <f t="shared" si="2"/>
        <v>31650.456999999999</v>
      </c>
      <c r="D19" s="15" t="str">
        <f t="shared" si="3"/>
        <v>vis</v>
      </c>
      <c r="E19" s="47">
        <f>VLOOKUP(C19,Active!C$21:E$973,3,FALSE)</f>
        <v>-4665.5271219994456</v>
      </c>
      <c r="F19" s="5" t="s">
        <v>48</v>
      </c>
      <c r="G19" s="15" t="str">
        <f t="shared" si="4"/>
        <v>31650.457</v>
      </c>
      <c r="H19" s="36">
        <f t="shared" si="5"/>
        <v>-26776.5</v>
      </c>
      <c r="I19" s="48" t="s">
        <v>60</v>
      </c>
      <c r="J19" s="49" t="s">
        <v>61</v>
      </c>
      <c r="K19" s="48">
        <v>-26776.5</v>
      </c>
      <c r="L19" s="48" t="s">
        <v>62</v>
      </c>
      <c r="M19" s="49" t="s">
        <v>54</v>
      </c>
      <c r="N19" s="49"/>
      <c r="O19" s="50" t="s">
        <v>55</v>
      </c>
      <c r="P19" s="50" t="s">
        <v>56</v>
      </c>
    </row>
    <row r="20" spans="1:16" ht="12.75" customHeight="1" thickBot="1" x14ac:dyDescent="0.25">
      <c r="A20" s="36" t="str">
        <f t="shared" si="0"/>
        <v> VSS 4.278 </v>
      </c>
      <c r="B20" s="5" t="str">
        <f t="shared" si="1"/>
        <v>II</v>
      </c>
      <c r="C20" s="36">
        <f t="shared" si="2"/>
        <v>31670.425999999999</v>
      </c>
      <c r="D20" s="15" t="str">
        <f t="shared" si="3"/>
        <v>vis</v>
      </c>
      <c r="E20" s="47">
        <f>VLOOKUP(C20,Active!C$21:E$973,3,FALSE)</f>
        <v>-4640.475121126281</v>
      </c>
      <c r="F20" s="5" t="s">
        <v>48</v>
      </c>
      <c r="G20" s="15" t="str">
        <f t="shared" si="4"/>
        <v>31670.426</v>
      </c>
      <c r="H20" s="36">
        <f t="shared" si="5"/>
        <v>-26751.5</v>
      </c>
      <c r="I20" s="48" t="s">
        <v>63</v>
      </c>
      <c r="J20" s="49" t="s">
        <v>64</v>
      </c>
      <c r="K20" s="48">
        <v>-26751.5</v>
      </c>
      <c r="L20" s="48" t="s">
        <v>65</v>
      </c>
      <c r="M20" s="49" t="s">
        <v>54</v>
      </c>
      <c r="N20" s="49"/>
      <c r="O20" s="50" t="s">
        <v>55</v>
      </c>
      <c r="P20" s="50" t="s">
        <v>56</v>
      </c>
    </row>
    <row r="21" spans="1:16" ht="12.75" customHeight="1" thickBot="1" x14ac:dyDescent="0.25">
      <c r="A21" s="36" t="str">
        <f t="shared" si="0"/>
        <v> VSS 4.278 </v>
      </c>
      <c r="B21" s="5" t="str">
        <f t="shared" si="1"/>
        <v>II</v>
      </c>
      <c r="C21" s="36">
        <f t="shared" si="2"/>
        <v>33856.408000000003</v>
      </c>
      <c r="D21" s="15" t="str">
        <f t="shared" si="3"/>
        <v>vis</v>
      </c>
      <c r="E21" s="47">
        <f>VLOOKUP(C21,Active!C$21:E$973,3,FALSE)</f>
        <v>-1898.0632340653983</v>
      </c>
      <c r="F21" s="5" t="s">
        <v>48</v>
      </c>
      <c r="G21" s="15" t="str">
        <f t="shared" si="4"/>
        <v>33856.408</v>
      </c>
      <c r="H21" s="36">
        <f t="shared" si="5"/>
        <v>-24002.5</v>
      </c>
      <c r="I21" s="48" t="s">
        <v>66</v>
      </c>
      <c r="J21" s="49" t="s">
        <v>67</v>
      </c>
      <c r="K21" s="48">
        <v>-24002.5</v>
      </c>
      <c r="L21" s="48" t="s">
        <v>68</v>
      </c>
      <c r="M21" s="49" t="s">
        <v>54</v>
      </c>
      <c r="N21" s="49"/>
      <c r="O21" s="50" t="s">
        <v>55</v>
      </c>
      <c r="P21" s="50" t="s">
        <v>56</v>
      </c>
    </row>
    <row r="22" spans="1:16" ht="12.75" customHeight="1" thickBot="1" x14ac:dyDescent="0.25">
      <c r="A22" s="36" t="str">
        <f t="shared" si="0"/>
        <v> VSS 4.278 </v>
      </c>
      <c r="B22" s="5" t="str">
        <f t="shared" si="1"/>
        <v>II</v>
      </c>
      <c r="C22" s="36">
        <f t="shared" si="2"/>
        <v>33856.468999999997</v>
      </c>
      <c r="D22" s="15" t="str">
        <f t="shared" si="3"/>
        <v>vis</v>
      </c>
      <c r="E22" s="47">
        <f>VLOOKUP(C22,Active!C$21:E$973,3,FALSE)</f>
        <v>-1897.9867068455517</v>
      </c>
      <c r="F22" s="5" t="s">
        <v>48</v>
      </c>
      <c r="G22" s="15" t="str">
        <f t="shared" si="4"/>
        <v>33856.469</v>
      </c>
      <c r="H22" s="36">
        <f t="shared" si="5"/>
        <v>-24002.5</v>
      </c>
      <c r="I22" s="48" t="s">
        <v>69</v>
      </c>
      <c r="J22" s="49" t="s">
        <v>70</v>
      </c>
      <c r="K22" s="48">
        <v>-24002.5</v>
      </c>
      <c r="L22" s="48" t="s">
        <v>71</v>
      </c>
      <c r="M22" s="49" t="s">
        <v>54</v>
      </c>
      <c r="N22" s="49"/>
      <c r="O22" s="50" t="s">
        <v>55</v>
      </c>
      <c r="P22" s="50" t="s">
        <v>56</v>
      </c>
    </row>
    <row r="23" spans="1:16" ht="12.75" customHeight="1" thickBot="1" x14ac:dyDescent="0.25">
      <c r="A23" s="36" t="str">
        <f t="shared" si="0"/>
        <v> VSS 4.278 </v>
      </c>
      <c r="B23" s="5" t="str">
        <f t="shared" si="1"/>
        <v>II</v>
      </c>
      <c r="C23" s="36">
        <f t="shared" si="2"/>
        <v>33856.527999999998</v>
      </c>
      <c r="D23" s="15" t="str">
        <f t="shared" si="3"/>
        <v>vis</v>
      </c>
      <c r="E23" s="47">
        <f>VLOOKUP(C23,Active!C$21:E$973,3,FALSE)</f>
        <v>-1897.9126887148718</v>
      </c>
      <c r="F23" s="5" t="s">
        <v>48</v>
      </c>
      <c r="G23" s="15" t="str">
        <f t="shared" si="4"/>
        <v>33856.528</v>
      </c>
      <c r="H23" s="36">
        <f t="shared" si="5"/>
        <v>-24002.5</v>
      </c>
      <c r="I23" s="48" t="s">
        <v>72</v>
      </c>
      <c r="J23" s="49" t="s">
        <v>73</v>
      </c>
      <c r="K23" s="48">
        <v>-24002.5</v>
      </c>
      <c r="L23" s="48" t="s">
        <v>74</v>
      </c>
      <c r="M23" s="49" t="s">
        <v>54</v>
      </c>
      <c r="N23" s="49"/>
      <c r="O23" s="50" t="s">
        <v>55</v>
      </c>
      <c r="P23" s="50" t="s">
        <v>56</v>
      </c>
    </row>
    <row r="24" spans="1:16" ht="12.75" customHeight="1" thickBot="1" x14ac:dyDescent="0.25">
      <c r="A24" s="36" t="str">
        <f t="shared" si="0"/>
        <v> VSS 4.278 </v>
      </c>
      <c r="B24" s="5" t="str">
        <f t="shared" si="1"/>
        <v>I</v>
      </c>
      <c r="C24" s="36">
        <f t="shared" si="2"/>
        <v>33858.432000000001</v>
      </c>
      <c r="D24" s="15" t="str">
        <f t="shared" si="3"/>
        <v>vis</v>
      </c>
      <c r="E24" s="47">
        <f>VLOOKUP(C24,Active!C$21:E$973,3,FALSE)</f>
        <v>-1895.5240358197564</v>
      </c>
      <c r="F24" s="5" t="s">
        <v>48</v>
      </c>
      <c r="G24" s="15" t="str">
        <f t="shared" si="4"/>
        <v>33858.432</v>
      </c>
      <c r="H24" s="36">
        <f t="shared" si="5"/>
        <v>-24000</v>
      </c>
      <c r="I24" s="48" t="s">
        <v>75</v>
      </c>
      <c r="J24" s="49" t="s">
        <v>76</v>
      </c>
      <c r="K24" s="48">
        <v>-24000</v>
      </c>
      <c r="L24" s="48" t="s">
        <v>77</v>
      </c>
      <c r="M24" s="49" t="s">
        <v>54</v>
      </c>
      <c r="N24" s="49"/>
      <c r="O24" s="50" t="s">
        <v>55</v>
      </c>
      <c r="P24" s="50" t="s">
        <v>56</v>
      </c>
    </row>
    <row r="25" spans="1:16" ht="12.75" customHeight="1" thickBot="1" x14ac:dyDescent="0.25">
      <c r="A25" s="36" t="str">
        <f t="shared" si="0"/>
        <v> VSS 4.278 </v>
      </c>
      <c r="B25" s="5" t="str">
        <f t="shared" si="1"/>
        <v>I</v>
      </c>
      <c r="C25" s="36">
        <f t="shared" si="2"/>
        <v>33858.485000000001</v>
      </c>
      <c r="D25" s="15" t="str">
        <f t="shared" si="3"/>
        <v>vis</v>
      </c>
      <c r="E25" s="47">
        <f>VLOOKUP(C25,Active!C$21:E$973,3,FALSE)</f>
        <v>-1895.4575449566048</v>
      </c>
      <c r="F25" s="5" t="s">
        <v>48</v>
      </c>
      <c r="G25" s="15" t="str">
        <f t="shared" si="4"/>
        <v>33858.485</v>
      </c>
      <c r="H25" s="36">
        <f t="shared" si="5"/>
        <v>-24000</v>
      </c>
      <c r="I25" s="48" t="s">
        <v>78</v>
      </c>
      <c r="J25" s="49" t="s">
        <v>79</v>
      </c>
      <c r="K25" s="48">
        <v>-24000</v>
      </c>
      <c r="L25" s="48" t="s">
        <v>80</v>
      </c>
      <c r="M25" s="49" t="s">
        <v>54</v>
      </c>
      <c r="N25" s="49"/>
      <c r="O25" s="50" t="s">
        <v>55</v>
      </c>
      <c r="P25" s="50" t="s">
        <v>56</v>
      </c>
    </row>
    <row r="26" spans="1:16" ht="12.75" customHeight="1" thickBot="1" x14ac:dyDescent="0.25">
      <c r="A26" s="36" t="str">
        <f t="shared" si="0"/>
        <v> VSS 4.278 </v>
      </c>
      <c r="B26" s="5" t="str">
        <f t="shared" si="1"/>
        <v>I</v>
      </c>
      <c r="C26" s="36">
        <f t="shared" si="2"/>
        <v>33858.538</v>
      </c>
      <c r="D26" s="15" t="str">
        <f t="shared" si="3"/>
        <v>vis</v>
      </c>
      <c r="E26" s="47">
        <f>VLOOKUP(C26,Active!C$21:E$973,3,FALSE)</f>
        <v>-1895.3910540934532</v>
      </c>
      <c r="F26" s="5" t="s">
        <v>48</v>
      </c>
      <c r="G26" s="15" t="str">
        <f t="shared" si="4"/>
        <v>33858.538</v>
      </c>
      <c r="H26" s="36">
        <f t="shared" si="5"/>
        <v>-24000</v>
      </c>
      <c r="I26" s="48" t="s">
        <v>81</v>
      </c>
      <c r="J26" s="49" t="s">
        <v>82</v>
      </c>
      <c r="K26" s="48">
        <v>-24000</v>
      </c>
      <c r="L26" s="48" t="s">
        <v>83</v>
      </c>
      <c r="M26" s="49" t="s">
        <v>54</v>
      </c>
      <c r="N26" s="49"/>
      <c r="O26" s="50" t="s">
        <v>55</v>
      </c>
      <c r="P26" s="50" t="s">
        <v>56</v>
      </c>
    </row>
    <row r="27" spans="1:16" ht="12.75" customHeight="1" thickBot="1" x14ac:dyDescent="0.25">
      <c r="A27" s="36" t="str">
        <f t="shared" si="0"/>
        <v> VSS 4.278 </v>
      </c>
      <c r="B27" s="5" t="str">
        <f t="shared" si="1"/>
        <v>I</v>
      </c>
      <c r="C27" s="36">
        <f t="shared" si="2"/>
        <v>33870.425999999999</v>
      </c>
      <c r="D27" s="15" t="str">
        <f t="shared" si="3"/>
        <v>vis</v>
      </c>
      <c r="E27" s="47">
        <f>VLOOKUP(C27,Active!C$21:E$973,3,FALSE)</f>
        <v>-1880.4770280340542</v>
      </c>
      <c r="F27" s="5" t="s">
        <v>48</v>
      </c>
      <c r="G27" s="15" t="str">
        <f t="shared" si="4"/>
        <v>33870.426</v>
      </c>
      <c r="H27" s="36">
        <f t="shared" si="5"/>
        <v>-23985</v>
      </c>
      <c r="I27" s="48" t="s">
        <v>84</v>
      </c>
      <c r="J27" s="49" t="s">
        <v>85</v>
      </c>
      <c r="K27" s="48">
        <v>-23985</v>
      </c>
      <c r="L27" s="48" t="s">
        <v>86</v>
      </c>
      <c r="M27" s="49" t="s">
        <v>54</v>
      </c>
      <c r="N27" s="49"/>
      <c r="O27" s="50" t="s">
        <v>55</v>
      </c>
      <c r="P27" s="50" t="s">
        <v>56</v>
      </c>
    </row>
    <row r="28" spans="1:16" ht="12.75" customHeight="1" thickBot="1" x14ac:dyDescent="0.25">
      <c r="A28" s="36" t="str">
        <f t="shared" si="0"/>
        <v> VSS 4.278 </v>
      </c>
      <c r="B28" s="5" t="str">
        <f t="shared" si="1"/>
        <v>I</v>
      </c>
      <c r="C28" s="36">
        <f t="shared" si="2"/>
        <v>33870.474000000002</v>
      </c>
      <c r="D28" s="15" t="str">
        <f t="shared" si="3"/>
        <v>vis</v>
      </c>
      <c r="E28" s="47">
        <f>VLOOKUP(C28,Active!C$21:E$973,3,FALSE)</f>
        <v>-1880.4168098938383</v>
      </c>
      <c r="F28" s="5" t="s">
        <v>48</v>
      </c>
      <c r="G28" s="15" t="str">
        <f t="shared" si="4"/>
        <v>33870.474</v>
      </c>
      <c r="H28" s="36">
        <f t="shared" si="5"/>
        <v>-23985</v>
      </c>
      <c r="I28" s="48" t="s">
        <v>87</v>
      </c>
      <c r="J28" s="49" t="s">
        <v>88</v>
      </c>
      <c r="K28" s="48">
        <v>-23985</v>
      </c>
      <c r="L28" s="48" t="s">
        <v>89</v>
      </c>
      <c r="M28" s="49" t="s">
        <v>54</v>
      </c>
      <c r="N28" s="49"/>
      <c r="O28" s="50" t="s">
        <v>55</v>
      </c>
      <c r="P28" s="50" t="s">
        <v>56</v>
      </c>
    </row>
    <row r="29" spans="1:16" ht="12.75" customHeight="1" thickBot="1" x14ac:dyDescent="0.25">
      <c r="A29" s="36" t="str">
        <f t="shared" si="0"/>
        <v> VSS 4.278 </v>
      </c>
      <c r="B29" s="5" t="str">
        <f t="shared" si="1"/>
        <v>I</v>
      </c>
      <c r="C29" s="36">
        <f t="shared" si="2"/>
        <v>34192.436000000002</v>
      </c>
      <c r="D29" s="15" t="str">
        <f t="shared" si="3"/>
        <v>vis</v>
      </c>
      <c r="E29" s="47">
        <f>VLOOKUP(C29,Active!C$21:E$973,3,FALSE)</f>
        <v>-1476.5011253264936</v>
      </c>
      <c r="F29" s="5" t="s">
        <v>48</v>
      </c>
      <c r="G29" s="15" t="str">
        <f t="shared" si="4"/>
        <v>34192.436</v>
      </c>
      <c r="H29" s="36">
        <f t="shared" si="5"/>
        <v>-23580</v>
      </c>
      <c r="I29" s="48" t="s">
        <v>90</v>
      </c>
      <c r="J29" s="49" t="s">
        <v>91</v>
      </c>
      <c r="K29" s="48">
        <v>-23580</v>
      </c>
      <c r="L29" s="48" t="s">
        <v>92</v>
      </c>
      <c r="M29" s="49" t="s">
        <v>54</v>
      </c>
      <c r="N29" s="49"/>
      <c r="O29" s="50" t="s">
        <v>55</v>
      </c>
      <c r="P29" s="50" t="s">
        <v>56</v>
      </c>
    </row>
    <row r="30" spans="1:16" ht="12.75" customHeight="1" thickBot="1" x14ac:dyDescent="0.25">
      <c r="A30" s="36" t="str">
        <f t="shared" si="0"/>
        <v> VSS 4.278 </v>
      </c>
      <c r="B30" s="5" t="str">
        <f t="shared" si="1"/>
        <v>I</v>
      </c>
      <c r="C30" s="36">
        <f t="shared" si="2"/>
        <v>35369.387000000002</v>
      </c>
      <c r="D30" s="15" t="str">
        <f t="shared" si="3"/>
        <v>vis</v>
      </c>
      <c r="E30" s="47">
        <f>VLOOKUP(C30,Active!C$21:E$973,3,FALSE)</f>
        <v>3.6381793048154566E-2</v>
      </c>
      <c r="F30" s="5" t="s">
        <v>48</v>
      </c>
      <c r="G30" s="15" t="str">
        <f t="shared" si="4"/>
        <v>35369.387</v>
      </c>
      <c r="H30" s="36">
        <f t="shared" si="5"/>
        <v>-22100</v>
      </c>
      <c r="I30" s="48" t="s">
        <v>96</v>
      </c>
      <c r="J30" s="49" t="s">
        <v>97</v>
      </c>
      <c r="K30" s="48">
        <v>-22100</v>
      </c>
      <c r="L30" s="48" t="s">
        <v>98</v>
      </c>
      <c r="M30" s="49" t="s">
        <v>54</v>
      </c>
      <c r="N30" s="49"/>
      <c r="O30" s="50" t="s">
        <v>55</v>
      </c>
      <c r="P30" s="50" t="s">
        <v>56</v>
      </c>
    </row>
    <row r="31" spans="1:16" ht="12.75" customHeight="1" thickBot="1" x14ac:dyDescent="0.25">
      <c r="A31" s="36" t="str">
        <f t="shared" si="0"/>
        <v> VSS 4.278 </v>
      </c>
      <c r="B31" s="5" t="str">
        <f t="shared" si="1"/>
        <v>I</v>
      </c>
      <c r="C31" s="36">
        <f t="shared" si="2"/>
        <v>35369.417999999998</v>
      </c>
      <c r="D31" s="15" t="str">
        <f t="shared" si="3"/>
        <v>vis</v>
      </c>
      <c r="E31" s="47">
        <f>VLOOKUP(C31,Active!C$21:E$973,3,FALSE)</f>
        <v>7.5272675263230671E-2</v>
      </c>
      <c r="F31" s="5" t="s">
        <v>48</v>
      </c>
      <c r="G31" s="15" t="str">
        <f t="shared" si="4"/>
        <v>35369.418</v>
      </c>
      <c r="H31" s="36">
        <f t="shared" si="5"/>
        <v>-22100</v>
      </c>
      <c r="I31" s="48" t="s">
        <v>99</v>
      </c>
      <c r="J31" s="49" t="s">
        <v>100</v>
      </c>
      <c r="K31" s="48">
        <v>-22100</v>
      </c>
      <c r="L31" s="48" t="s">
        <v>101</v>
      </c>
      <c r="M31" s="49" t="s">
        <v>54</v>
      </c>
      <c r="N31" s="49"/>
      <c r="O31" s="50" t="s">
        <v>55</v>
      </c>
      <c r="P31" s="50" t="s">
        <v>56</v>
      </c>
    </row>
    <row r="32" spans="1:16" ht="12.75" customHeight="1" thickBot="1" x14ac:dyDescent="0.25">
      <c r="A32" s="36" t="str">
        <f t="shared" si="0"/>
        <v> VSS 4.278 </v>
      </c>
      <c r="B32" s="5" t="str">
        <f t="shared" si="1"/>
        <v>II</v>
      </c>
      <c r="C32" s="36">
        <f t="shared" si="2"/>
        <v>35371.377</v>
      </c>
      <c r="D32" s="15" t="str">
        <f t="shared" si="3"/>
        <v>vis</v>
      </c>
      <c r="E32" s="47">
        <f>VLOOKUP(C32,Active!C$21:E$973,3,FALSE)</f>
        <v>2.5329255227062948</v>
      </c>
      <c r="F32" s="5" t="s">
        <v>48</v>
      </c>
      <c r="G32" s="15" t="str">
        <f t="shared" si="4"/>
        <v>35371.377</v>
      </c>
      <c r="H32" s="36">
        <f t="shared" si="5"/>
        <v>-22097.5</v>
      </c>
      <c r="I32" s="48" t="s">
        <v>102</v>
      </c>
      <c r="J32" s="49" t="s">
        <v>103</v>
      </c>
      <c r="K32" s="48">
        <v>-22097.5</v>
      </c>
      <c r="L32" s="48" t="s">
        <v>104</v>
      </c>
      <c r="M32" s="49" t="s">
        <v>54</v>
      </c>
      <c r="N32" s="49"/>
      <c r="O32" s="50" t="s">
        <v>55</v>
      </c>
      <c r="P32" s="50" t="s">
        <v>56</v>
      </c>
    </row>
    <row r="33" spans="1:16" ht="12.75" customHeight="1" thickBot="1" x14ac:dyDescent="0.25">
      <c r="A33" s="36" t="str">
        <f t="shared" si="0"/>
        <v> VSS 4.278 </v>
      </c>
      <c r="B33" s="5" t="str">
        <f t="shared" si="1"/>
        <v>II</v>
      </c>
      <c r="C33" s="36">
        <f t="shared" si="2"/>
        <v>35371.406999999999</v>
      </c>
      <c r="D33" s="15" t="str">
        <f t="shared" si="3"/>
        <v>vis</v>
      </c>
      <c r="E33" s="47">
        <f>VLOOKUP(C33,Active!C$21:E$973,3,FALSE)</f>
        <v>2.5705618603379099</v>
      </c>
      <c r="F33" s="5" t="s">
        <v>48</v>
      </c>
      <c r="G33" s="15" t="str">
        <f t="shared" si="4"/>
        <v>35371.407</v>
      </c>
      <c r="H33" s="36">
        <f t="shared" si="5"/>
        <v>-22097.5</v>
      </c>
      <c r="I33" s="48" t="s">
        <v>105</v>
      </c>
      <c r="J33" s="49" t="s">
        <v>106</v>
      </c>
      <c r="K33" s="48">
        <v>-22097.5</v>
      </c>
      <c r="L33" s="48" t="s">
        <v>107</v>
      </c>
      <c r="M33" s="49" t="s">
        <v>54</v>
      </c>
      <c r="N33" s="49"/>
      <c r="O33" s="50" t="s">
        <v>55</v>
      </c>
      <c r="P33" s="50" t="s">
        <v>56</v>
      </c>
    </row>
    <row r="34" spans="1:16" ht="12.75" customHeight="1" thickBot="1" x14ac:dyDescent="0.25">
      <c r="A34" s="36" t="str">
        <f t="shared" si="0"/>
        <v> VSS 4.278 </v>
      </c>
      <c r="B34" s="5" t="str">
        <f t="shared" si="1"/>
        <v>I</v>
      </c>
      <c r="C34" s="36">
        <f t="shared" si="2"/>
        <v>35373.372000000003</v>
      </c>
      <c r="D34" s="15" t="str">
        <f t="shared" si="3"/>
        <v>vis</v>
      </c>
      <c r="E34" s="47">
        <f>VLOOKUP(C34,Active!C$21:E$973,3,FALSE)</f>
        <v>5.035741975309123</v>
      </c>
      <c r="F34" s="5" t="s">
        <v>48</v>
      </c>
      <c r="G34" s="15" t="str">
        <f t="shared" si="4"/>
        <v>35373.372</v>
      </c>
      <c r="H34" s="36">
        <f t="shared" si="5"/>
        <v>-22095</v>
      </c>
      <c r="I34" s="48" t="s">
        <v>108</v>
      </c>
      <c r="J34" s="49" t="s">
        <v>109</v>
      </c>
      <c r="K34" s="48">
        <v>-22095</v>
      </c>
      <c r="L34" s="48" t="s">
        <v>110</v>
      </c>
      <c r="M34" s="49" t="s">
        <v>54</v>
      </c>
      <c r="N34" s="49"/>
      <c r="O34" s="50" t="s">
        <v>55</v>
      </c>
      <c r="P34" s="50" t="s">
        <v>56</v>
      </c>
    </row>
    <row r="35" spans="1:16" ht="12.75" customHeight="1" thickBot="1" x14ac:dyDescent="0.25">
      <c r="A35" s="36" t="str">
        <f t="shared" si="0"/>
        <v> VSS 4.278 </v>
      </c>
      <c r="B35" s="5" t="str">
        <f t="shared" si="1"/>
        <v>I</v>
      </c>
      <c r="C35" s="36">
        <f t="shared" si="2"/>
        <v>35397.271000000001</v>
      </c>
      <c r="D35" s="15" t="str">
        <f t="shared" si="3"/>
        <v>vis</v>
      </c>
      <c r="E35" s="47">
        <f>VLOOKUP(C35,Active!C$21:E$973,3,FALSE)</f>
        <v>35.018103078402092</v>
      </c>
      <c r="F35" s="5" t="s">
        <v>48</v>
      </c>
      <c r="G35" s="15" t="str">
        <f t="shared" si="4"/>
        <v>35397.271</v>
      </c>
      <c r="H35" s="36">
        <f t="shared" si="5"/>
        <v>-22065</v>
      </c>
      <c r="I35" s="48" t="s">
        <v>111</v>
      </c>
      <c r="J35" s="49" t="s">
        <v>112</v>
      </c>
      <c r="K35" s="48">
        <v>-22065</v>
      </c>
      <c r="L35" s="48" t="s">
        <v>113</v>
      </c>
      <c r="M35" s="49" t="s">
        <v>54</v>
      </c>
      <c r="N35" s="49"/>
      <c r="O35" s="50" t="s">
        <v>55</v>
      </c>
      <c r="P35" s="50" t="s">
        <v>56</v>
      </c>
    </row>
    <row r="36" spans="1:16" ht="12.75" customHeight="1" thickBot="1" x14ac:dyDescent="0.25">
      <c r="A36" s="36" t="str">
        <f t="shared" si="0"/>
        <v> VSS 4.278 </v>
      </c>
      <c r="B36" s="5" t="str">
        <f t="shared" si="1"/>
        <v>I</v>
      </c>
      <c r="C36" s="36">
        <f t="shared" si="2"/>
        <v>35691.504000000001</v>
      </c>
      <c r="D36" s="15" t="str">
        <f t="shared" si="3"/>
        <v>vis</v>
      </c>
      <c r="E36" s="47">
        <f>VLOOKUP(C36,Active!C$21:E$973,3,FALSE)</f>
        <v>404.14652077149555</v>
      </c>
      <c r="F36" s="5" t="s">
        <v>48</v>
      </c>
      <c r="G36" s="15" t="str">
        <f t="shared" si="4"/>
        <v>35691.504</v>
      </c>
      <c r="H36" s="36">
        <f t="shared" si="5"/>
        <v>-21695</v>
      </c>
      <c r="I36" s="48" t="s">
        <v>114</v>
      </c>
      <c r="J36" s="49" t="s">
        <v>115</v>
      </c>
      <c r="K36" s="48">
        <v>-21695</v>
      </c>
      <c r="L36" s="48" t="s">
        <v>116</v>
      </c>
      <c r="M36" s="49" t="s">
        <v>54</v>
      </c>
      <c r="N36" s="49"/>
      <c r="O36" s="50" t="s">
        <v>55</v>
      </c>
      <c r="P36" s="50" t="s">
        <v>56</v>
      </c>
    </row>
    <row r="37" spans="1:16" ht="12.75" customHeight="1" thickBot="1" x14ac:dyDescent="0.25">
      <c r="A37" s="36" t="str">
        <f t="shared" si="0"/>
        <v> VSS 4.278 </v>
      </c>
      <c r="B37" s="5" t="str">
        <f t="shared" si="1"/>
        <v>I</v>
      </c>
      <c r="C37" s="36">
        <f t="shared" si="2"/>
        <v>35694.557000000001</v>
      </c>
      <c r="D37" s="15" t="str">
        <f t="shared" si="3"/>
        <v>vis</v>
      </c>
      <c r="E37" s="47">
        <f>VLOOKUP(C37,Active!C$21:E$973,3,FALSE)</f>
        <v>407.97664539795477</v>
      </c>
      <c r="F37" s="5" t="s">
        <v>48</v>
      </c>
      <c r="G37" s="15" t="str">
        <f t="shared" si="4"/>
        <v>35694.557</v>
      </c>
      <c r="H37" s="36">
        <f t="shared" si="5"/>
        <v>-21691</v>
      </c>
      <c r="I37" s="48" t="s">
        <v>117</v>
      </c>
      <c r="J37" s="49" t="s">
        <v>118</v>
      </c>
      <c r="K37" s="48">
        <v>-21691</v>
      </c>
      <c r="L37" s="48" t="s">
        <v>119</v>
      </c>
      <c r="M37" s="49" t="s">
        <v>54</v>
      </c>
      <c r="N37" s="49"/>
      <c r="O37" s="50" t="s">
        <v>55</v>
      </c>
      <c r="P37" s="50" t="s">
        <v>56</v>
      </c>
    </row>
    <row r="38" spans="1:16" ht="12.75" customHeight="1" thickBot="1" x14ac:dyDescent="0.25">
      <c r="A38" s="36" t="str">
        <f t="shared" si="0"/>
        <v> VSS 4.279 </v>
      </c>
      <c r="B38" s="5" t="str">
        <f t="shared" si="1"/>
        <v>I</v>
      </c>
      <c r="C38" s="36">
        <f t="shared" si="2"/>
        <v>35695.438000000002</v>
      </c>
      <c r="D38" s="15" t="str">
        <f t="shared" si="3"/>
        <v>vis</v>
      </c>
      <c r="E38" s="47">
        <f>VLOOKUP(C38,Active!C$21:E$973,3,FALSE)</f>
        <v>409.08189917978098</v>
      </c>
      <c r="F38" s="5" t="s">
        <v>48</v>
      </c>
      <c r="G38" s="15" t="str">
        <f t="shared" si="4"/>
        <v>35695.438</v>
      </c>
      <c r="H38" s="36">
        <f t="shared" si="5"/>
        <v>-21690</v>
      </c>
      <c r="I38" s="48" t="s">
        <v>120</v>
      </c>
      <c r="J38" s="49" t="s">
        <v>121</v>
      </c>
      <c r="K38" s="48">
        <v>-21690</v>
      </c>
      <c r="L38" s="48" t="s">
        <v>122</v>
      </c>
      <c r="M38" s="49" t="s">
        <v>54</v>
      </c>
      <c r="N38" s="49"/>
      <c r="O38" s="50" t="s">
        <v>55</v>
      </c>
      <c r="P38" s="50" t="s">
        <v>123</v>
      </c>
    </row>
    <row r="39" spans="1:16" ht="12.75" customHeight="1" thickBot="1" x14ac:dyDescent="0.25">
      <c r="A39" s="36" t="str">
        <f t="shared" si="0"/>
        <v> VSS 4.279 </v>
      </c>
      <c r="B39" s="5" t="str">
        <f t="shared" si="1"/>
        <v>I</v>
      </c>
      <c r="C39" s="36">
        <f t="shared" si="2"/>
        <v>35695.472000000002</v>
      </c>
      <c r="D39" s="15" t="str">
        <f t="shared" si="3"/>
        <v>vis</v>
      </c>
      <c r="E39" s="47">
        <f>VLOOKUP(C39,Active!C$21:E$973,3,FALSE)</f>
        <v>409.12455369576469</v>
      </c>
      <c r="F39" s="5" t="s">
        <v>48</v>
      </c>
      <c r="G39" s="15" t="str">
        <f t="shared" si="4"/>
        <v>35695.472</v>
      </c>
      <c r="H39" s="36">
        <f t="shared" si="5"/>
        <v>-21690</v>
      </c>
      <c r="I39" s="48" t="s">
        <v>124</v>
      </c>
      <c r="J39" s="49" t="s">
        <v>125</v>
      </c>
      <c r="K39" s="48">
        <v>-21690</v>
      </c>
      <c r="L39" s="48" t="s">
        <v>126</v>
      </c>
      <c r="M39" s="49" t="s">
        <v>54</v>
      </c>
      <c r="N39" s="49"/>
      <c r="O39" s="50" t="s">
        <v>55</v>
      </c>
      <c r="P39" s="50" t="s">
        <v>123</v>
      </c>
    </row>
    <row r="40" spans="1:16" ht="12.75" customHeight="1" thickBot="1" x14ac:dyDescent="0.25">
      <c r="A40" s="36" t="str">
        <f t="shared" si="0"/>
        <v> VSS 4.279 </v>
      </c>
      <c r="B40" s="5" t="str">
        <f t="shared" si="1"/>
        <v>I</v>
      </c>
      <c r="C40" s="36">
        <f t="shared" si="2"/>
        <v>35695.504999999997</v>
      </c>
      <c r="D40" s="15" t="str">
        <f t="shared" si="3"/>
        <v>vis</v>
      </c>
      <c r="E40" s="47">
        <f>VLOOKUP(C40,Active!C$21:E$973,3,FALSE)</f>
        <v>409.1659536671558</v>
      </c>
      <c r="F40" s="5" t="s">
        <v>48</v>
      </c>
      <c r="G40" s="15" t="str">
        <f t="shared" si="4"/>
        <v>35695.505</v>
      </c>
      <c r="H40" s="36">
        <f t="shared" si="5"/>
        <v>-21690</v>
      </c>
      <c r="I40" s="48" t="s">
        <v>127</v>
      </c>
      <c r="J40" s="49" t="s">
        <v>128</v>
      </c>
      <c r="K40" s="48">
        <v>-21690</v>
      </c>
      <c r="L40" s="48" t="s">
        <v>129</v>
      </c>
      <c r="M40" s="49" t="s">
        <v>54</v>
      </c>
      <c r="N40" s="49"/>
      <c r="O40" s="50" t="s">
        <v>55</v>
      </c>
      <c r="P40" s="50" t="s">
        <v>123</v>
      </c>
    </row>
    <row r="41" spans="1:16" ht="12.75" customHeight="1" thickBot="1" x14ac:dyDescent="0.25">
      <c r="A41" s="36" t="str">
        <f t="shared" si="0"/>
        <v> VSS 4.279 </v>
      </c>
      <c r="B41" s="5" t="str">
        <f t="shared" si="1"/>
        <v>I</v>
      </c>
      <c r="C41" s="36">
        <f t="shared" si="2"/>
        <v>35698.491000000002</v>
      </c>
      <c r="D41" s="15" t="str">
        <f t="shared" si="3"/>
        <v>vis</v>
      </c>
      <c r="E41" s="47">
        <f>VLOOKUP(C41,Active!C$21:E$973,3,FALSE)</f>
        <v>412.91202380624014</v>
      </c>
      <c r="F41" s="5" t="s">
        <v>48</v>
      </c>
      <c r="G41" s="15" t="str">
        <f t="shared" si="4"/>
        <v>35698.491</v>
      </c>
      <c r="H41" s="36">
        <f t="shared" si="5"/>
        <v>-21686</v>
      </c>
      <c r="I41" s="48" t="s">
        <v>130</v>
      </c>
      <c r="J41" s="49" t="s">
        <v>131</v>
      </c>
      <c r="K41" s="48">
        <v>-21686</v>
      </c>
      <c r="L41" s="48" t="s">
        <v>50</v>
      </c>
      <c r="M41" s="49" t="s">
        <v>54</v>
      </c>
      <c r="N41" s="49"/>
      <c r="O41" s="50" t="s">
        <v>55</v>
      </c>
      <c r="P41" s="50" t="s">
        <v>123</v>
      </c>
    </row>
    <row r="42" spans="1:16" ht="12.75" customHeight="1" thickBot="1" x14ac:dyDescent="0.25">
      <c r="A42" s="36" t="str">
        <f t="shared" si="0"/>
        <v> VSS 4.279 </v>
      </c>
      <c r="B42" s="5" t="str">
        <f t="shared" si="1"/>
        <v>I</v>
      </c>
      <c r="C42" s="36">
        <f t="shared" si="2"/>
        <v>35698.533000000003</v>
      </c>
      <c r="D42" s="15" t="str">
        <f t="shared" si="3"/>
        <v>vis</v>
      </c>
      <c r="E42" s="47">
        <f>VLOOKUP(C42,Active!C$21:E$973,3,FALSE)</f>
        <v>412.96471467892809</v>
      </c>
      <c r="F42" s="5" t="s">
        <v>48</v>
      </c>
      <c r="G42" s="15" t="str">
        <f t="shared" si="4"/>
        <v>35698.533</v>
      </c>
      <c r="H42" s="36">
        <f t="shared" si="5"/>
        <v>-21686</v>
      </c>
      <c r="I42" s="48" t="s">
        <v>132</v>
      </c>
      <c r="J42" s="49" t="s">
        <v>133</v>
      </c>
      <c r="K42" s="48">
        <v>-21686</v>
      </c>
      <c r="L42" s="48" t="s">
        <v>119</v>
      </c>
      <c r="M42" s="49" t="s">
        <v>54</v>
      </c>
      <c r="N42" s="49"/>
      <c r="O42" s="50" t="s">
        <v>55</v>
      </c>
      <c r="P42" s="50" t="s">
        <v>123</v>
      </c>
    </row>
    <row r="43" spans="1:16" ht="12.75" customHeight="1" thickBot="1" x14ac:dyDescent="0.25">
      <c r="A43" s="36" t="str">
        <f t="shared" si="0"/>
        <v> VSS 4.279 </v>
      </c>
      <c r="B43" s="5" t="str">
        <f t="shared" si="1"/>
        <v>II</v>
      </c>
      <c r="C43" s="36">
        <f t="shared" si="2"/>
        <v>35700.476000000002</v>
      </c>
      <c r="D43" s="15" t="str">
        <f t="shared" si="3"/>
        <v>vis</v>
      </c>
      <c r="E43" s="47">
        <f>VLOOKUP(C43,Active!C$21:E$973,3,FALSE)</f>
        <v>415.40229481296274</v>
      </c>
      <c r="F43" s="5" t="s">
        <v>48</v>
      </c>
      <c r="G43" s="15" t="str">
        <f t="shared" si="4"/>
        <v>35700.476</v>
      </c>
      <c r="H43" s="36">
        <f t="shared" si="5"/>
        <v>-21683.5</v>
      </c>
      <c r="I43" s="48" t="s">
        <v>134</v>
      </c>
      <c r="J43" s="49" t="s">
        <v>135</v>
      </c>
      <c r="K43" s="48">
        <v>-21683.5</v>
      </c>
      <c r="L43" s="48" t="s">
        <v>136</v>
      </c>
      <c r="M43" s="49" t="s">
        <v>54</v>
      </c>
      <c r="N43" s="49"/>
      <c r="O43" s="50" t="s">
        <v>55</v>
      </c>
      <c r="P43" s="50" t="s">
        <v>123</v>
      </c>
    </row>
    <row r="44" spans="1:16" ht="12.75" customHeight="1" thickBot="1" x14ac:dyDescent="0.25">
      <c r="A44" s="36" t="str">
        <f t="shared" si="0"/>
        <v> VSS 4.279 </v>
      </c>
      <c r="B44" s="5" t="str">
        <f t="shared" si="1"/>
        <v>II</v>
      </c>
      <c r="C44" s="36">
        <f t="shared" si="2"/>
        <v>35700.510999999999</v>
      </c>
      <c r="D44" s="15" t="str">
        <f t="shared" si="3"/>
        <v>vis</v>
      </c>
      <c r="E44" s="47">
        <f>VLOOKUP(C44,Active!C$21:E$973,3,FALSE)</f>
        <v>415.4462038735299</v>
      </c>
      <c r="F44" s="5" t="s">
        <v>48</v>
      </c>
      <c r="G44" s="15" t="str">
        <f t="shared" si="4"/>
        <v>35700.511</v>
      </c>
      <c r="H44" s="36">
        <f t="shared" si="5"/>
        <v>-21683.5</v>
      </c>
      <c r="I44" s="48" t="s">
        <v>137</v>
      </c>
      <c r="J44" s="49" t="s">
        <v>138</v>
      </c>
      <c r="K44" s="48">
        <v>-21683.5</v>
      </c>
      <c r="L44" s="48" t="s">
        <v>139</v>
      </c>
      <c r="M44" s="49" t="s">
        <v>54</v>
      </c>
      <c r="N44" s="49"/>
      <c r="O44" s="50" t="s">
        <v>55</v>
      </c>
      <c r="P44" s="50" t="s">
        <v>123</v>
      </c>
    </row>
    <row r="45" spans="1:16" ht="12.75" customHeight="1" thickBot="1" x14ac:dyDescent="0.25">
      <c r="A45" s="36" t="str">
        <f t="shared" si="0"/>
        <v> VSS 4.279 </v>
      </c>
      <c r="B45" s="5" t="str">
        <f t="shared" si="1"/>
        <v>II</v>
      </c>
      <c r="C45" s="36">
        <f t="shared" si="2"/>
        <v>35700.542000000001</v>
      </c>
      <c r="D45" s="15" t="str">
        <f t="shared" si="3"/>
        <v>vis</v>
      </c>
      <c r="E45" s="47">
        <f>VLOOKUP(C45,Active!C$21:E$973,3,FALSE)</f>
        <v>415.48509475575412</v>
      </c>
      <c r="F45" s="5" t="s">
        <v>48</v>
      </c>
      <c r="G45" s="15" t="str">
        <f t="shared" si="4"/>
        <v>35700.542</v>
      </c>
      <c r="H45" s="36">
        <f t="shared" si="5"/>
        <v>-21683.5</v>
      </c>
      <c r="I45" s="48" t="s">
        <v>140</v>
      </c>
      <c r="J45" s="49" t="s">
        <v>141</v>
      </c>
      <c r="K45" s="48">
        <v>-21683.5</v>
      </c>
      <c r="L45" s="48" t="s">
        <v>142</v>
      </c>
      <c r="M45" s="49" t="s">
        <v>54</v>
      </c>
      <c r="N45" s="49"/>
      <c r="O45" s="50" t="s">
        <v>55</v>
      </c>
      <c r="P45" s="50" t="s">
        <v>123</v>
      </c>
    </row>
    <row r="46" spans="1:16" ht="12.75" customHeight="1" thickBot="1" x14ac:dyDescent="0.25">
      <c r="A46" s="36" t="str">
        <f t="shared" si="0"/>
        <v> VSS 4.279 </v>
      </c>
      <c r="B46" s="5" t="str">
        <f t="shared" si="1"/>
        <v>II</v>
      </c>
      <c r="C46" s="36">
        <f t="shared" si="2"/>
        <v>35716.453999999998</v>
      </c>
      <c r="D46" s="15" t="str">
        <f t="shared" si="3"/>
        <v>vis</v>
      </c>
      <c r="E46" s="47">
        <f>VLOOKUP(C46,Active!C$21:E$973,3,FALSE)</f>
        <v>435.44740823633327</v>
      </c>
      <c r="F46" s="5" t="s">
        <v>48</v>
      </c>
      <c r="G46" s="15" t="str">
        <f t="shared" si="4"/>
        <v>35716.454</v>
      </c>
      <c r="H46" s="36">
        <f t="shared" si="5"/>
        <v>-21663.5</v>
      </c>
      <c r="I46" s="48" t="s">
        <v>143</v>
      </c>
      <c r="J46" s="49" t="s">
        <v>144</v>
      </c>
      <c r="K46" s="48">
        <v>-21663.5</v>
      </c>
      <c r="L46" s="48" t="s">
        <v>145</v>
      </c>
      <c r="M46" s="49" t="s">
        <v>54</v>
      </c>
      <c r="N46" s="49"/>
      <c r="O46" s="50" t="s">
        <v>55</v>
      </c>
      <c r="P46" s="50" t="s">
        <v>123</v>
      </c>
    </row>
    <row r="47" spans="1:16" ht="12.75" customHeight="1" thickBot="1" x14ac:dyDescent="0.25">
      <c r="A47" s="36" t="str">
        <f t="shared" si="0"/>
        <v> BRNO 32 </v>
      </c>
      <c r="B47" s="5" t="str">
        <f t="shared" si="1"/>
        <v>II</v>
      </c>
      <c r="C47" s="36">
        <f t="shared" si="2"/>
        <v>49924.502500000002</v>
      </c>
      <c r="D47" s="15" t="str">
        <f t="shared" si="3"/>
        <v>vis</v>
      </c>
      <c r="E47" s="47">
        <f>VLOOKUP(C47,Active!C$21:E$973,3,FALSE)</f>
        <v>18260.077756673552</v>
      </c>
      <c r="F47" s="5" t="s">
        <v>48</v>
      </c>
      <c r="G47" s="15" t="str">
        <f t="shared" si="4"/>
        <v>49924.5025</v>
      </c>
      <c r="H47" s="36">
        <f t="shared" si="5"/>
        <v>-3796.5</v>
      </c>
      <c r="I47" s="48" t="s">
        <v>146</v>
      </c>
      <c r="J47" s="49" t="s">
        <v>147</v>
      </c>
      <c r="K47" s="48">
        <v>-3796.5</v>
      </c>
      <c r="L47" s="48" t="s">
        <v>148</v>
      </c>
      <c r="M47" s="49" t="s">
        <v>149</v>
      </c>
      <c r="N47" s="49"/>
      <c r="O47" s="50" t="s">
        <v>150</v>
      </c>
      <c r="P47" s="50" t="s">
        <v>151</v>
      </c>
    </row>
    <row r="48" spans="1:16" ht="12.75" customHeight="1" thickBot="1" x14ac:dyDescent="0.25">
      <c r="A48" s="36" t="str">
        <f t="shared" si="0"/>
        <v> BRNO 32 </v>
      </c>
      <c r="B48" s="5" t="str">
        <f t="shared" si="1"/>
        <v>II</v>
      </c>
      <c r="C48" s="36">
        <f t="shared" si="2"/>
        <v>49924.502500000002</v>
      </c>
      <c r="D48" s="15" t="str">
        <f t="shared" si="3"/>
        <v>vis</v>
      </c>
      <c r="E48" s="47">
        <f>VLOOKUP(C48,Active!C$21:E$973,3,FALSE)</f>
        <v>18260.077756673552</v>
      </c>
      <c r="F48" s="5" t="s">
        <v>48</v>
      </c>
      <c r="G48" s="15" t="str">
        <f t="shared" si="4"/>
        <v>49924.5025</v>
      </c>
      <c r="H48" s="36">
        <f t="shared" si="5"/>
        <v>-3796.5</v>
      </c>
      <c r="I48" s="48" t="s">
        <v>146</v>
      </c>
      <c r="J48" s="49" t="s">
        <v>147</v>
      </c>
      <c r="K48" s="48">
        <v>-3796.5</v>
      </c>
      <c r="L48" s="48" t="s">
        <v>148</v>
      </c>
      <c r="M48" s="49" t="s">
        <v>149</v>
      </c>
      <c r="N48" s="49"/>
      <c r="O48" s="50" t="s">
        <v>152</v>
      </c>
      <c r="P48" s="50" t="s">
        <v>151</v>
      </c>
    </row>
    <row r="49" spans="1:16" ht="12.75" customHeight="1" thickBot="1" x14ac:dyDescent="0.25">
      <c r="A49" s="36" t="str">
        <f t="shared" si="0"/>
        <v> BRNO 32 </v>
      </c>
      <c r="B49" s="5" t="str">
        <f t="shared" si="1"/>
        <v>II</v>
      </c>
      <c r="C49" s="36">
        <f t="shared" si="2"/>
        <v>49924.5046</v>
      </c>
      <c r="D49" s="15" t="str">
        <f t="shared" si="3"/>
        <v>vis</v>
      </c>
      <c r="E49" s="47">
        <f>VLOOKUP(C49,Active!C$21:E$973,3,FALSE)</f>
        <v>18260.080391217183</v>
      </c>
      <c r="F49" s="5" t="s">
        <v>48</v>
      </c>
      <c r="G49" s="15" t="str">
        <f t="shared" si="4"/>
        <v>49924.5046</v>
      </c>
      <c r="H49" s="36">
        <f t="shared" si="5"/>
        <v>-3796.5</v>
      </c>
      <c r="I49" s="48" t="s">
        <v>153</v>
      </c>
      <c r="J49" s="49" t="s">
        <v>154</v>
      </c>
      <c r="K49" s="48">
        <v>-3796.5</v>
      </c>
      <c r="L49" s="48" t="s">
        <v>155</v>
      </c>
      <c r="M49" s="49" t="s">
        <v>149</v>
      </c>
      <c r="N49" s="49"/>
      <c r="O49" s="50" t="s">
        <v>156</v>
      </c>
      <c r="P49" s="50" t="s">
        <v>151</v>
      </c>
    </row>
    <row r="50" spans="1:16" ht="12.75" customHeight="1" thickBot="1" x14ac:dyDescent="0.25">
      <c r="A50" s="36" t="str">
        <f t="shared" si="0"/>
        <v> BRNO 32 </v>
      </c>
      <c r="B50" s="5" t="str">
        <f t="shared" si="1"/>
        <v>II</v>
      </c>
      <c r="C50" s="36">
        <f t="shared" si="2"/>
        <v>49924.508800000003</v>
      </c>
      <c r="D50" s="15" t="str">
        <f t="shared" si="3"/>
        <v>vis</v>
      </c>
      <c r="E50" s="47">
        <f>VLOOKUP(C50,Active!C$21:E$973,3,FALSE)</f>
        <v>18260.085660304456</v>
      </c>
      <c r="F50" s="5" t="s">
        <v>48</v>
      </c>
      <c r="G50" s="15" t="str">
        <f t="shared" si="4"/>
        <v>49924.5088</v>
      </c>
      <c r="H50" s="36">
        <f t="shared" si="5"/>
        <v>-3796.5</v>
      </c>
      <c r="I50" s="48" t="s">
        <v>157</v>
      </c>
      <c r="J50" s="49" t="s">
        <v>158</v>
      </c>
      <c r="K50" s="48">
        <v>-3796.5</v>
      </c>
      <c r="L50" s="48" t="s">
        <v>159</v>
      </c>
      <c r="M50" s="49" t="s">
        <v>149</v>
      </c>
      <c r="N50" s="49"/>
      <c r="O50" s="50" t="s">
        <v>160</v>
      </c>
      <c r="P50" s="50" t="s">
        <v>151</v>
      </c>
    </row>
    <row r="51" spans="1:16" ht="12.75" customHeight="1" thickBot="1" x14ac:dyDescent="0.25">
      <c r="A51" s="36" t="str">
        <f t="shared" si="0"/>
        <v> BRNO 32 </v>
      </c>
      <c r="B51" s="5" t="str">
        <f t="shared" si="1"/>
        <v>II</v>
      </c>
      <c r="C51" s="36">
        <f t="shared" si="2"/>
        <v>49928.432999999997</v>
      </c>
      <c r="D51" s="15" t="str">
        <f t="shared" si="3"/>
        <v>vis</v>
      </c>
      <c r="E51" s="47">
        <f>VLOOKUP(C51,Active!C$21:E$973,3,FALSE)</f>
        <v>18265.008744175775</v>
      </c>
      <c r="F51" s="5" t="s">
        <v>48</v>
      </c>
      <c r="G51" s="15" t="str">
        <f t="shared" si="4"/>
        <v>49928.4330</v>
      </c>
      <c r="H51" s="36">
        <f t="shared" si="5"/>
        <v>-3791.5</v>
      </c>
      <c r="I51" s="48" t="s">
        <v>161</v>
      </c>
      <c r="J51" s="49" t="s">
        <v>162</v>
      </c>
      <c r="K51" s="48">
        <v>-3791.5</v>
      </c>
      <c r="L51" s="48" t="s">
        <v>163</v>
      </c>
      <c r="M51" s="49" t="s">
        <v>149</v>
      </c>
      <c r="N51" s="49"/>
      <c r="O51" s="50" t="s">
        <v>164</v>
      </c>
      <c r="P51" s="50" t="s">
        <v>151</v>
      </c>
    </row>
    <row r="52" spans="1:16" ht="12.75" customHeight="1" thickBot="1" x14ac:dyDescent="0.25">
      <c r="A52" s="36" t="str">
        <f t="shared" si="0"/>
        <v> BRNO 32 </v>
      </c>
      <c r="B52" s="5" t="str">
        <f t="shared" si="1"/>
        <v>II</v>
      </c>
      <c r="C52" s="36">
        <f t="shared" si="2"/>
        <v>49928.437899999997</v>
      </c>
      <c r="D52" s="15" t="str">
        <f t="shared" si="3"/>
        <v>vis</v>
      </c>
      <c r="E52" s="47">
        <f>VLOOKUP(C52,Active!C$21:E$973,3,FALSE)</f>
        <v>18265.014891444254</v>
      </c>
      <c r="F52" s="5" t="s">
        <v>48</v>
      </c>
      <c r="G52" s="15" t="str">
        <f t="shared" si="4"/>
        <v>49928.4379</v>
      </c>
      <c r="H52" s="36">
        <f t="shared" si="5"/>
        <v>-3791.5</v>
      </c>
      <c r="I52" s="48" t="s">
        <v>165</v>
      </c>
      <c r="J52" s="49" t="s">
        <v>166</v>
      </c>
      <c r="K52" s="48">
        <v>-3791.5</v>
      </c>
      <c r="L52" s="48" t="s">
        <v>167</v>
      </c>
      <c r="M52" s="49" t="s">
        <v>149</v>
      </c>
      <c r="N52" s="49"/>
      <c r="O52" s="50" t="s">
        <v>150</v>
      </c>
      <c r="P52" s="50" t="s">
        <v>151</v>
      </c>
    </row>
    <row r="53" spans="1:16" ht="12.75" customHeight="1" thickBot="1" x14ac:dyDescent="0.25">
      <c r="A53" s="36" t="str">
        <f t="shared" si="0"/>
        <v> BRNO 32 </v>
      </c>
      <c r="B53" s="5" t="str">
        <f t="shared" si="1"/>
        <v>II</v>
      </c>
      <c r="C53" s="36">
        <f t="shared" si="2"/>
        <v>49928.479500000001</v>
      </c>
      <c r="D53" s="15" t="str">
        <f t="shared" si="3"/>
        <v>vis</v>
      </c>
      <c r="E53" s="47">
        <f>VLOOKUP(C53,Active!C$21:E$973,3,FALSE)</f>
        <v>18265.06708049911</v>
      </c>
      <c r="F53" s="5" t="s">
        <v>48</v>
      </c>
      <c r="G53" s="15" t="str">
        <f t="shared" si="4"/>
        <v>49928.4795</v>
      </c>
      <c r="H53" s="36">
        <f t="shared" si="5"/>
        <v>-3791.5</v>
      </c>
      <c r="I53" s="48" t="s">
        <v>168</v>
      </c>
      <c r="J53" s="49" t="s">
        <v>169</v>
      </c>
      <c r="K53" s="48">
        <v>-3791.5</v>
      </c>
      <c r="L53" s="48" t="s">
        <v>170</v>
      </c>
      <c r="M53" s="49" t="s">
        <v>149</v>
      </c>
      <c r="N53" s="49"/>
      <c r="O53" s="50" t="s">
        <v>156</v>
      </c>
      <c r="P53" s="50" t="s">
        <v>151</v>
      </c>
    </row>
    <row r="54" spans="1:16" ht="12.75" customHeight="1" thickBot="1" x14ac:dyDescent="0.25">
      <c r="A54" s="36" t="str">
        <f t="shared" si="0"/>
        <v> BRNO 32 </v>
      </c>
      <c r="B54" s="5" t="str">
        <f t="shared" si="1"/>
        <v>II</v>
      </c>
      <c r="C54" s="36">
        <f t="shared" si="2"/>
        <v>49928.485800000002</v>
      </c>
      <c r="D54" s="15" t="str">
        <f t="shared" si="3"/>
        <v>vis</v>
      </c>
      <c r="E54" s="47">
        <f>VLOOKUP(C54,Active!C$21:E$973,3,FALSE)</f>
        <v>18265.074984130013</v>
      </c>
      <c r="F54" s="5" t="s">
        <v>48</v>
      </c>
      <c r="G54" s="15" t="str">
        <f t="shared" si="4"/>
        <v>49928.4858</v>
      </c>
      <c r="H54" s="36">
        <f t="shared" si="5"/>
        <v>-3791.5</v>
      </c>
      <c r="I54" s="48" t="s">
        <v>171</v>
      </c>
      <c r="J54" s="49" t="s">
        <v>172</v>
      </c>
      <c r="K54" s="48">
        <v>-3791.5</v>
      </c>
      <c r="L54" s="48" t="s">
        <v>173</v>
      </c>
      <c r="M54" s="49" t="s">
        <v>149</v>
      </c>
      <c r="N54" s="49"/>
      <c r="O54" s="50" t="s">
        <v>152</v>
      </c>
      <c r="P54" s="50" t="s">
        <v>151</v>
      </c>
    </row>
    <row r="55" spans="1:16" ht="12.75" customHeight="1" thickBot="1" x14ac:dyDescent="0.25">
      <c r="A55" s="36" t="str">
        <f t="shared" si="0"/>
        <v> BRNO 32 </v>
      </c>
      <c r="B55" s="5" t="str">
        <f t="shared" si="1"/>
        <v>II</v>
      </c>
      <c r="C55" s="36">
        <f t="shared" si="2"/>
        <v>49928.508000000002</v>
      </c>
      <c r="D55" s="15" t="str">
        <f t="shared" si="3"/>
        <v>vis</v>
      </c>
      <c r="E55" s="47">
        <f>VLOOKUP(C55,Active!C$21:E$973,3,FALSE)</f>
        <v>18265.102835019861</v>
      </c>
      <c r="F55" s="5" t="s">
        <v>48</v>
      </c>
      <c r="G55" s="15" t="str">
        <f t="shared" si="4"/>
        <v>49928.5080</v>
      </c>
      <c r="H55" s="36">
        <f t="shared" si="5"/>
        <v>-3791.5</v>
      </c>
      <c r="I55" s="48" t="s">
        <v>174</v>
      </c>
      <c r="J55" s="49" t="s">
        <v>175</v>
      </c>
      <c r="K55" s="48">
        <v>-3791.5</v>
      </c>
      <c r="L55" s="48" t="s">
        <v>176</v>
      </c>
      <c r="M55" s="49" t="s">
        <v>149</v>
      </c>
      <c r="N55" s="49"/>
      <c r="O55" s="50" t="s">
        <v>160</v>
      </c>
      <c r="P55" s="50" t="s">
        <v>151</v>
      </c>
    </row>
    <row r="56" spans="1:16" ht="12.75" customHeight="1" thickBot="1" x14ac:dyDescent="0.25">
      <c r="A56" s="36" t="str">
        <f t="shared" si="0"/>
        <v> BBS 121 </v>
      </c>
      <c r="B56" s="5" t="str">
        <f t="shared" si="1"/>
        <v>II</v>
      </c>
      <c r="C56" s="36">
        <f t="shared" si="2"/>
        <v>51435.396999999997</v>
      </c>
      <c r="D56" s="15" t="str">
        <f t="shared" si="3"/>
        <v>vis</v>
      </c>
      <c r="E56" s="47">
        <f>VLOOKUP(C56,Active!C$21:E$973,3,FALSE)</f>
        <v>20155.56227433879</v>
      </c>
      <c r="F56" s="5" t="s">
        <v>48</v>
      </c>
      <c r="G56" s="15" t="str">
        <f t="shared" si="4"/>
        <v>51435.397</v>
      </c>
      <c r="H56" s="36">
        <f t="shared" si="5"/>
        <v>-1896.5</v>
      </c>
      <c r="I56" s="48" t="s">
        <v>184</v>
      </c>
      <c r="J56" s="49" t="s">
        <v>185</v>
      </c>
      <c r="K56" s="48">
        <v>-1896.5</v>
      </c>
      <c r="L56" s="48" t="s">
        <v>186</v>
      </c>
      <c r="M56" s="49" t="s">
        <v>180</v>
      </c>
      <c r="N56" s="49" t="s">
        <v>181</v>
      </c>
      <c r="O56" s="50" t="s">
        <v>187</v>
      </c>
      <c r="P56" s="50" t="s">
        <v>188</v>
      </c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</sheetData>
  <phoneticPr fontId="7" type="noConversion"/>
  <hyperlinks>
    <hyperlink ref="A3" r:id="rId1"/>
    <hyperlink ref="P12" r:id="rId2" display="http://www.konkoly.hu/cgi-bin/IBVS?4888"/>
    <hyperlink ref="P13" r:id="rId3" display="http://www.konkoly.hu/cgi-bin/IBVS?5263"/>
    <hyperlink ref="P14" r:id="rId4" display="http://var.astro.cz/oejv/issues/oejv0074.pdf"/>
    <hyperlink ref="P15" r:id="rId5" display="http://www.konkoly.hu/cgi-bin/IBVS?5583"/>
    <hyperlink ref="P16" r:id="rId6" display="http://var.astro.cz/oejv/issues/oejv0074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2024-01-11T04:25:59Z</dcterms:modified>
</cp:coreProperties>
</file>