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9024454-D326-4692-873F-2E57034ED19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D9" i="1"/>
  <c r="C9" i="1"/>
  <c r="Q21" i="1"/>
  <c r="Q23" i="1"/>
  <c r="Q24" i="1"/>
  <c r="Q25" i="1"/>
  <c r="Q26" i="1"/>
  <c r="Q27" i="1"/>
  <c r="Q28" i="1"/>
  <c r="Q29" i="1"/>
  <c r="Q32" i="1"/>
  <c r="G13" i="2"/>
  <c r="C13" i="2"/>
  <c r="G14" i="2"/>
  <c r="C14" i="2"/>
  <c r="G15" i="2"/>
  <c r="C15" i="2"/>
  <c r="G16" i="2"/>
  <c r="C16" i="2"/>
  <c r="G17" i="2"/>
  <c r="C17" i="2"/>
  <c r="G18" i="2"/>
  <c r="C18" i="2"/>
  <c r="G19" i="2"/>
  <c r="C19" i="2"/>
  <c r="G11" i="2"/>
  <c r="C11" i="2"/>
  <c r="G20" i="2"/>
  <c r="C20" i="2"/>
  <c r="G12" i="2"/>
  <c r="C12" i="2"/>
  <c r="H20" i="2"/>
  <c r="D20" i="2"/>
  <c r="B20" i="2"/>
  <c r="A20" i="2"/>
  <c r="H11" i="2"/>
  <c r="B11" i="2"/>
  <c r="D11" i="2"/>
  <c r="A11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C17" i="1"/>
  <c r="Q30" i="1"/>
  <c r="Q31" i="1"/>
  <c r="C7" i="1"/>
  <c r="C8" i="1"/>
  <c r="Q22" i="1"/>
  <c r="E12" i="2"/>
  <c r="E15" i="2"/>
  <c r="E20" i="2"/>
  <c r="E14" i="2"/>
  <c r="E13" i="2"/>
  <c r="E26" i="1"/>
  <c r="F26" i="1"/>
  <c r="E22" i="1"/>
  <c r="F22" i="1"/>
  <c r="G25" i="1"/>
  <c r="I25" i="1"/>
  <c r="E23" i="1"/>
  <c r="F23" i="1"/>
  <c r="G23" i="1"/>
  <c r="I23" i="1"/>
  <c r="G32" i="1"/>
  <c r="J32" i="1"/>
  <c r="E28" i="1"/>
  <c r="F28" i="1"/>
  <c r="G28" i="1"/>
  <c r="I28" i="1"/>
  <c r="E31" i="1"/>
  <c r="F31" i="1"/>
  <c r="G31" i="1"/>
  <c r="I31" i="1"/>
  <c r="E25" i="1"/>
  <c r="F25" i="1"/>
  <c r="G21" i="1"/>
  <c r="G30" i="1"/>
  <c r="I30" i="1"/>
  <c r="E32" i="1"/>
  <c r="F32" i="1"/>
  <c r="G24" i="1"/>
  <c r="I24" i="1"/>
  <c r="E27" i="1"/>
  <c r="F27" i="1"/>
  <c r="G27" i="1"/>
  <c r="I27" i="1"/>
  <c r="E21" i="1"/>
  <c r="F21" i="1"/>
  <c r="E30" i="1"/>
  <c r="F30" i="1"/>
  <c r="G26" i="1"/>
  <c r="I26" i="1"/>
  <c r="E24" i="1"/>
  <c r="F24" i="1"/>
  <c r="G22" i="1"/>
  <c r="H22" i="1"/>
  <c r="E29" i="1"/>
  <c r="F29" i="1"/>
  <c r="G29" i="1"/>
  <c r="I29" i="1"/>
  <c r="E16" i="2"/>
  <c r="I21" i="1"/>
  <c r="E11" i="2"/>
  <c r="E17" i="2"/>
  <c r="E18" i="2"/>
  <c r="E19" i="2"/>
  <c r="C12" i="1"/>
  <c r="C11" i="1"/>
  <c r="O31" i="1" l="1"/>
  <c r="C15" i="1"/>
  <c r="F18" i="1" s="1"/>
  <c r="O29" i="1"/>
  <c r="O26" i="1"/>
  <c r="O24" i="1"/>
  <c r="O25" i="1"/>
  <c r="O22" i="1"/>
  <c r="O32" i="1"/>
  <c r="O28" i="1"/>
  <c r="O23" i="1"/>
  <c r="O30" i="1"/>
  <c r="O27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<sst xmlns="http://schemas.openxmlformats.org/spreadsheetml/2006/main" count="162" uniqueCount="96">
  <si>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</si>
  <si>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</si>
  <si>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</si>
  <si>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</si>
  <si>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</si>
  <si>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</si>
  <si>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</si>
  <si>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</si>
  <si>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</si>
  <si>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</si>
  <si>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</si>
  <si>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</si>
  <si>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</si>
  <si>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</si>
  <si>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</si>
  <si>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</si>
  <si>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</si>
  <si>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</si>
  <si>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</si>
  <si>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</si>
  <si>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</si>
  <si>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</si>
  <si>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</si>
  <si>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</si>
  <si>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</si>
  <si>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</si>
  <si>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Paschke A</t>
  </si>
  <si>
    <t>BBSAG Bull.99</t>
  </si>
  <si>
    <t>B</t>
  </si>
  <si>
    <t>Diethelm R</t>
  </si>
  <si>
    <t>BBSAG Bull.115</t>
  </si>
  <si>
    <t># of data points:</t>
  </si>
  <si>
    <t>E: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</si>
  <si>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</si>
  <si>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</si>
  <si>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</si>
  <si>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</si>
  <si>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</si>
  <si>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</si>
  <si>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</si>
  <si>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</si>
  <si>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</si>
  <si>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</si>
  <si>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</si>
  <si>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2428403.390 </t>
  </si>
  <si>
    <t> 22.08.1936 21:21 </t>
  </si>
  <si>
    <t> -0.404 </t>
  </si>
  <si>
    <t>P </t>
  </si>
  <si>
    <t> H.Gessner </t>
  </si>
  <si>
    <t> MVS 1.391 </t>
  </si>
  <si>
    <t>2428433.339 </t>
  </si>
  <si>
    <t> 21.09.1936 20:08 </t>
  </si>
  <si>
    <t> -0.186 </t>
  </si>
  <si>
    <t>2429194.308 </t>
  </si>
  <si>
    <t> 22.10.1938 19:23 </t>
  </si>
  <si>
    <t> -0.325 </t>
  </si>
  <si>
    <t>2429839.421 </t>
  </si>
  <si>
    <t> 28.07.1940 22:06 </t>
  </si>
  <si>
    <t> -0.370 </t>
  </si>
  <si>
    <t>2429851.406 </t>
  </si>
  <si>
    <t> 09.08.1940 21:44 </t>
  </si>
  <si>
    <t> -0.277 </t>
  </si>
  <si>
    <t>2430496.508 </t>
  </si>
  <si>
    <t> 17.05.1942 00:11 </t>
  </si>
  <si>
    <t> -0.333 </t>
  </si>
  <si>
    <t>2430499.490 </t>
  </si>
  <si>
    <t> 19.05.1942 23:45 </t>
  </si>
  <si>
    <t> -0.324 </t>
  </si>
  <si>
    <t>2430936.505 </t>
  </si>
  <si>
    <t> 31.07.1943 00:07 </t>
  </si>
  <si>
    <t> -0.351 </t>
  </si>
  <si>
    <t>2448564.228 </t>
  </si>
  <si>
    <t> 03.11.1991 17:28 </t>
  </si>
  <si>
    <t> -0.001 </t>
  </si>
  <si>
    <t>E </t>
  </si>
  <si>
    <t>?</t>
  </si>
  <si>
    <t> A.Paschke </t>
  </si>
  <si>
    <t> BBS 99 </t>
  </si>
  <si>
    <t>2450639.4831 </t>
  </si>
  <si>
    <t> 09.07.1997 23:35 </t>
  </si>
  <si>
    <t> 0.0459 </t>
  </si>
  <si>
    <t> R.Diethelm </t>
  </si>
  <si>
    <t> BBS 115 </t>
  </si>
  <si>
    <t>I</t>
  </si>
  <si>
    <t>s5</t>
  </si>
  <si>
    <t>s6</t>
  </si>
  <si>
    <t>s7</t>
  </si>
  <si>
    <t>My time zone &gt;&gt;&gt;&gt;&gt;</t>
  </si>
  <si>
    <t>(PST=8, PDT=MDT=7, MDT=CST=6, etc.)</t>
  </si>
  <si>
    <t>Start of linear fit (row #)</t>
  </si>
  <si>
    <t>Add cycle</t>
  </si>
  <si>
    <t>JD today</t>
  </si>
  <si>
    <t>Old Cycle</t>
  </si>
  <si>
    <t>New Cycle</t>
  </si>
  <si>
    <t>Next ToM</t>
  </si>
  <si>
    <t>V0926 Aql / GSC 01062-00024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</si>
</sst>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4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horizontal="center"/>
    </xf>
    <xf numFmtId="0" fontId="11" fillId="0" borderId="0" xfId="0" applyFont="1">
      <alignment vertical="top"/>
    </xf>
    <xf numFmtId="0" fontId="15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V0926 Aql - O-C Diagr.</a:t>
            </a:r>
          </a:p>
        </c:rich>
      </c:tx>
      <c:layout>
        <c:manualLayout>
          <c:xMode val="edge"/>
          <c:yMode val="edge"/>
          <c:x val="0.3557525840243420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9304272075732"/>
          <c:y val="0.15"/>
          <c:w val="0.8106201695763357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266</c:v>
                </c:pt>
                <c:pt idx="4">
                  <c:v>483</c:v>
                </c:pt>
                <c:pt idx="5">
                  <c:v>487</c:v>
                </c:pt>
                <c:pt idx="6">
                  <c:v>704</c:v>
                </c:pt>
                <c:pt idx="7">
                  <c:v>705</c:v>
                </c:pt>
                <c:pt idx="8">
                  <c:v>852</c:v>
                </c:pt>
                <c:pt idx="9">
                  <c:v>6781</c:v>
                </c:pt>
                <c:pt idx="10">
                  <c:v>7479</c:v>
                </c:pt>
                <c:pt idx="11">
                  <c:v>7479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7-4376-A9A0-05F01303F2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266</c:v>
                </c:pt>
                <c:pt idx="4">
                  <c:v>483</c:v>
                </c:pt>
                <c:pt idx="5">
                  <c:v>487</c:v>
                </c:pt>
                <c:pt idx="6">
                  <c:v>704</c:v>
                </c:pt>
                <c:pt idx="7">
                  <c:v>705</c:v>
                </c:pt>
                <c:pt idx="8">
                  <c:v>852</c:v>
                </c:pt>
                <c:pt idx="9">
                  <c:v>6781</c:v>
                </c:pt>
                <c:pt idx="10">
                  <c:v>7479</c:v>
                </c:pt>
                <c:pt idx="11">
                  <c:v>7479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-0.11000000000058208</c:v>
                </c:pt>
                <c:pt idx="2">
                  <c:v>0.10870000000068103</c:v>
                </c:pt>
                <c:pt idx="3">
                  <c:v>-1.7980000000534346E-2</c:v>
                </c:pt>
                <c:pt idx="4">
                  <c:v>-5.2490000001853332E-2</c:v>
                </c:pt>
                <c:pt idx="5">
                  <c:v>4.0389999998296844E-2</c:v>
                </c:pt>
                <c:pt idx="6">
                  <c:v>-5.1199999979871791E-3</c:v>
                </c:pt>
                <c:pt idx="7">
                  <c:v>3.8500000009662472E-3</c:v>
                </c:pt>
                <c:pt idx="8">
                  <c:v>-1.6560000000026776E-2</c:v>
                </c:pt>
                <c:pt idx="9">
                  <c:v>0.61157000000093831</c:v>
                </c:pt>
                <c:pt idx="10">
                  <c:v>0.69163000000116881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7-4376-A9A0-05F01303F2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266</c:v>
                </c:pt>
                <c:pt idx="4">
                  <c:v>483</c:v>
                </c:pt>
                <c:pt idx="5">
                  <c:v>487</c:v>
                </c:pt>
                <c:pt idx="6">
                  <c:v>704</c:v>
                </c:pt>
                <c:pt idx="7">
                  <c:v>705</c:v>
                </c:pt>
                <c:pt idx="8">
                  <c:v>852</c:v>
                </c:pt>
                <c:pt idx="9">
                  <c:v>6781</c:v>
                </c:pt>
                <c:pt idx="10">
                  <c:v>7479</c:v>
                </c:pt>
                <c:pt idx="11">
                  <c:v>7479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1">
                  <c:v>0.6917299999986426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7-4376-A9A0-05F01303F2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266</c:v>
                </c:pt>
                <c:pt idx="4">
                  <c:v>483</c:v>
                </c:pt>
                <c:pt idx="5">
                  <c:v>487</c:v>
                </c:pt>
                <c:pt idx="6">
                  <c:v>704</c:v>
                </c:pt>
                <c:pt idx="7">
                  <c:v>705</c:v>
                </c:pt>
                <c:pt idx="8">
                  <c:v>852</c:v>
                </c:pt>
                <c:pt idx="9">
                  <c:v>6781</c:v>
                </c:pt>
                <c:pt idx="10">
                  <c:v>7479</c:v>
                </c:pt>
                <c:pt idx="11">
                  <c:v>7479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7-4376-A9A0-05F01303F2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266</c:v>
                </c:pt>
                <c:pt idx="4">
                  <c:v>483</c:v>
                </c:pt>
                <c:pt idx="5">
                  <c:v>487</c:v>
                </c:pt>
                <c:pt idx="6">
                  <c:v>704</c:v>
                </c:pt>
                <c:pt idx="7">
                  <c:v>705</c:v>
                </c:pt>
                <c:pt idx="8">
                  <c:v>852</c:v>
                </c:pt>
                <c:pt idx="9">
                  <c:v>6781</c:v>
                </c:pt>
                <c:pt idx="10">
                  <c:v>7479</c:v>
                </c:pt>
                <c:pt idx="11">
                  <c:v>7479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A7-4376-A9A0-05F01303F2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266</c:v>
                </c:pt>
                <c:pt idx="4">
                  <c:v>483</c:v>
                </c:pt>
                <c:pt idx="5">
                  <c:v>487</c:v>
                </c:pt>
                <c:pt idx="6">
                  <c:v>704</c:v>
                </c:pt>
                <c:pt idx="7">
                  <c:v>705</c:v>
                </c:pt>
                <c:pt idx="8">
                  <c:v>852</c:v>
                </c:pt>
                <c:pt idx="9">
                  <c:v>6781</c:v>
                </c:pt>
                <c:pt idx="10">
                  <c:v>7479</c:v>
                </c:pt>
                <c:pt idx="11">
                  <c:v>7479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A7-4376-A9A0-05F01303F2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5.0000000000000001E-3</c:v>
                  </c:pt>
                  <c:pt idx="10">
                    <c:v>4.0000000000000002E-4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266</c:v>
                </c:pt>
                <c:pt idx="4">
                  <c:v>483</c:v>
                </c:pt>
                <c:pt idx="5">
                  <c:v>487</c:v>
                </c:pt>
                <c:pt idx="6">
                  <c:v>704</c:v>
                </c:pt>
                <c:pt idx="7">
                  <c:v>705</c:v>
                </c:pt>
                <c:pt idx="8">
                  <c:v>852</c:v>
                </c:pt>
                <c:pt idx="9">
                  <c:v>6781</c:v>
                </c:pt>
                <c:pt idx="10">
                  <c:v>7479</c:v>
                </c:pt>
                <c:pt idx="11">
                  <c:v>7479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A7-4376-A9A0-05F01303F2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266</c:v>
                </c:pt>
                <c:pt idx="4">
                  <c:v>483</c:v>
                </c:pt>
                <c:pt idx="5">
                  <c:v>487</c:v>
                </c:pt>
                <c:pt idx="6">
                  <c:v>704</c:v>
                </c:pt>
                <c:pt idx="7">
                  <c:v>705</c:v>
                </c:pt>
                <c:pt idx="8">
                  <c:v>852</c:v>
                </c:pt>
                <c:pt idx="9">
                  <c:v>6781</c:v>
                </c:pt>
                <c:pt idx="10">
                  <c:v>7479</c:v>
                </c:pt>
                <c:pt idx="11">
                  <c:v>7479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-4.1858161861076881E-2</c:v>
                </c:pt>
                <c:pt idx="1">
                  <c:v>-4.1858161861076881E-2</c:v>
                </c:pt>
                <c:pt idx="2">
                  <c:v>-4.0888496194304867E-2</c:v>
                </c:pt>
                <c:pt idx="3">
                  <c:v>-1.6065055124941243E-2</c:v>
                </c:pt>
                <c:pt idx="4">
                  <c:v>4.9766898440115129E-3</c:v>
                </c:pt>
                <c:pt idx="5">
                  <c:v>5.3645561107203213E-3</c:v>
                </c:pt>
                <c:pt idx="6">
                  <c:v>2.6406301079673081E-2</c:v>
                </c:pt>
                <c:pt idx="7">
                  <c:v>2.6503267646350276E-2</c:v>
                </c:pt>
                <c:pt idx="8">
                  <c:v>4.0757352947898923E-2</c:v>
                </c:pt>
                <c:pt idx="9">
                  <c:v>0.61567212677702754</c:v>
                </c:pt>
                <c:pt idx="10">
                  <c:v>0.68335479031771418</c:v>
                </c:pt>
                <c:pt idx="11">
                  <c:v>0.68335479031771418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A7-4376-A9A0-05F01303F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520552"/>
        <c:axId val="1"/>
      </c:scatterChart>
      <c:valAx>
        <c:axId val="601520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941769446960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97345132743362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520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3807167909321"/>
          <c:y val="0.91874999999999996"/>
          <c:w val="0.7185846282489025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342900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0AA3DF-AA02-2302-13DA-3C30BC7D2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selection activeCell="F3" sqref="F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95</v>
      </c>
    </row>
    <row r="2" spans="1:6">
      <c r="A2" t="s">
        <v>25</v>
      </c>
      <c r="B2" s="14" t="s">
        <v>32</v>
      </c>
    </row>
    <row r="4" spans="1:6">
      <c r="A4" s="8" t="s">
        <v>0</v>
      </c>
      <c r="C4" s="3">
        <v>28403.5</v>
      </c>
      <c r="D4" s="4">
        <v>2.9730300000000001</v>
      </c>
    </row>
    <row r="5" spans="1:6">
      <c r="A5" s="30" t="s">
        <v>87</v>
      </c>
      <c r="B5" s="16"/>
      <c r="C5" s="31">
        <v>-9.5</v>
      </c>
      <c r="D5" s="16" t="s">
        <v>88</v>
      </c>
    </row>
    <row r="6" spans="1:6">
      <c r="A6" s="8" t="s">
        <v>1</v>
      </c>
    </row>
    <row r="7" spans="1:6">
      <c r="A7" t="s">
        <v>2</v>
      </c>
      <c r="C7">
        <f>+C4</f>
        <v>28403.5</v>
      </c>
    </row>
    <row r="8" spans="1:6">
      <c r="A8" t="s">
        <v>3</v>
      </c>
      <c r="C8">
        <f>+D4</f>
        <v>2.9730300000000001</v>
      </c>
    </row>
    <row r="9" spans="1:6">
      <c r="A9" s="32" t="s">
        <v>89</v>
      </c>
      <c r="B9" s="33">
        <v>21</v>
      </c>
      <c r="C9" s="34" t="str">
        <f>"F"&amp;B9</f>
        <v>F21</v>
      </c>
      <c r="D9" s="34" t="str">
        <f>"G"&amp;B9</f>
        <v>G21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13">
        <f ca="1">INTERCEPT(INDIRECT(D9):G1005,INDIRECT(C9):$F1005)</f>
        <v>-4.1858161861076881E-2</v>
      </c>
      <c r="D11" s="6"/>
    </row>
    <row r="12" spans="1:6">
      <c r="A12" t="s">
        <v>17</v>
      </c>
      <c r="C12" s="13">
        <f ca="1">SLOPE(INDIRECT(D9):G1005,INDIRECT(C9):$F1005)</f>
        <v>9.6966566677201643E-5</v>
      </c>
      <c r="D12" s="6"/>
    </row>
    <row r="13" spans="1:6">
      <c r="A13" t="s">
        <v>19</v>
      </c>
      <c r="C13" s="6" t="s">
        <v>14</v>
      </c>
      <c r="D13" s="6"/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50639.474724790314</v>
      </c>
      <c r="E15" s="35" t="s">
        <v>90</v>
      </c>
      <c r="F15" s="36">
        <v>1</v>
      </c>
    </row>
    <row r="16" spans="1:6">
      <c r="A16" s="8" t="s">
        <v>4</v>
      </c>
      <c r="C16" s="12">
        <f ca="1">+C8+C12</f>
        <v>2.9731269665666771</v>
      </c>
      <c r="E16" s="35" t="s">
        <v>91</v>
      </c>
      <c r="F16" s="37">
        <f ca="1">NOW()+15018.5+$C$5/24</f>
        <v>60320.726855555557</v>
      </c>
    </row>
    <row r="17" spans="1:31" ht="13.5" thickBot="1">
      <c r="A17" s="13" t="s">
        <v>31</v>
      </c>
      <c r="C17">
        <f>COUNT(C21:C2191)</f>
        <v>12</v>
      </c>
      <c r="E17" s="35" t="s">
        <v>92</v>
      </c>
      <c r="F17" s="37">
        <f ca="1">ROUND(2*(F16-$C$7)/$C$8,0)/2+F15</f>
        <v>10736.5</v>
      </c>
    </row>
    <row r="18" spans="1:31">
      <c r="A18" s="8" t="s">
        <v>5</v>
      </c>
      <c r="C18" s="3">
        <f ca="1">+C15</f>
        <v>50639.474724790314</v>
      </c>
      <c r="D18" s="4">
        <f ca="1">+C16</f>
        <v>2.9731269665666771</v>
      </c>
      <c r="E18" s="35" t="s">
        <v>93</v>
      </c>
      <c r="F18" s="38">
        <f ca="1">ROUND(2*(F16-$C$15)/$C$16,0)/2+F15</f>
        <v>3257.5</v>
      </c>
    </row>
    <row r="19" spans="1:31" ht="13.5" thickTop="1">
      <c r="E19" s="35" t="s">
        <v>94</v>
      </c>
      <c r="F19" s="39">
        <f ca="1">+$C$15+$C$16*F18-15018.5-$C$5/24</f>
        <v>45306.331651714601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40</v>
      </c>
      <c r="I20" s="10" t="s">
        <v>43</v>
      </c>
      <c r="J20" s="10" t="s">
        <v>37</v>
      </c>
      <c r="K20" s="10" t="s">
        <v>35</v>
      </c>
      <c r="L20" s="10" t="s">
        <v>84</v>
      </c>
      <c r="M20" s="10" t="s">
        <v>85</v>
      </c>
      <c r="N20" s="10" t="s">
        <v>86</v>
      </c>
      <c r="O20" s="10" t="s">
        <v>23</v>
      </c>
      <c r="P20" s="9" t="s">
        <v>22</v>
      </c>
      <c r="Q20" s="7" t="s">
        <v>15</v>
      </c>
    </row>
    <row r="21" spans="1:31">
      <c r="A21" t="s">
        <v>49</v>
      </c>
      <c r="B21" t="s">
        <v>83</v>
      </c>
      <c r="C21" s="29">
        <v>28403.39</v>
      </c>
      <c r="D21" s="17" t="s">
        <v>43</v>
      </c>
      <c r="E21">
        <f t="shared" ref="E21:E32" si="0">+(C21-C$7)/C$8</f>
        <v>-3.6999290286536653E-2</v>
      </c>
      <c r="F21">
        <f t="shared" ref="F21:F32" si="1">ROUND(2*E21,0)/2</f>
        <v>0</v>
      </c>
      <c r="G21">
        <f t="shared" ref="G21:G32" si="2">+C21-(C$7+F21*C$8)</f>
        <v>-0.11000000000058208</v>
      </c>
      <c r="I21">
        <f>G21</f>
        <v>-0.11000000000058208</v>
      </c>
      <c r="O21">
        <f t="shared" ref="O21:O32" ca="1" si="3">+C$11+C$12*F21</f>
        <v>-4.1858161861076881E-2</v>
      </c>
      <c r="Q21" s="2">
        <f t="shared" ref="Q21:Q32" si="4">+C21-15018.5</f>
        <v>13384.89</v>
      </c>
    </row>
    <row r="22" spans="1:31">
      <c r="A22" t="s">
        <v>12</v>
      </c>
      <c r="C22" s="17">
        <v>28403.5</v>
      </c>
      <c r="D22" s="17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-4.1858161861076881E-2</v>
      </c>
      <c r="Q22" s="2">
        <f t="shared" si="4"/>
        <v>13385</v>
      </c>
    </row>
    <row r="23" spans="1:31">
      <c r="A23" t="s">
        <v>49</v>
      </c>
      <c r="B23" t="s">
        <v>83</v>
      </c>
      <c r="C23" s="29">
        <v>28433.339</v>
      </c>
      <c r="D23" s="17" t="s">
        <v>43</v>
      </c>
      <c r="E23">
        <f t="shared" si="0"/>
        <v>10.036562025946573</v>
      </c>
      <c r="F23">
        <f t="shared" si="1"/>
        <v>10</v>
      </c>
      <c r="G23">
        <f t="shared" si="2"/>
        <v>0.10870000000068103</v>
      </c>
      <c r="I23">
        <f t="shared" ref="I23:I31" si="5">G23</f>
        <v>0.10870000000068103</v>
      </c>
      <c r="O23">
        <f t="shared" ca="1" si="3"/>
        <v>-4.0888496194304867E-2</v>
      </c>
      <c r="Q23" s="2">
        <f t="shared" si="4"/>
        <v>13414.839</v>
      </c>
    </row>
    <row r="24" spans="1:31">
      <c r="A24" t="s">
        <v>49</v>
      </c>
      <c r="B24" t="s">
        <v>83</v>
      </c>
      <c r="C24" s="17">
        <v>29194.308000000001</v>
      </c>
      <c r="D24" s="17" t="s">
        <v>43</v>
      </c>
      <c r="E24">
        <f t="shared" si="0"/>
        <v>265.99395229782442</v>
      </c>
      <c r="F24">
        <f t="shared" si="1"/>
        <v>266</v>
      </c>
      <c r="G24">
        <f t="shared" si="2"/>
        <v>-1.7980000000534346E-2</v>
      </c>
      <c r="I24">
        <f t="shared" si="5"/>
        <v>-1.7980000000534346E-2</v>
      </c>
      <c r="O24">
        <f t="shared" ca="1" si="3"/>
        <v>-1.6065055124941243E-2</v>
      </c>
      <c r="Q24" s="2">
        <f t="shared" si="4"/>
        <v>14175.808000000001</v>
      </c>
    </row>
    <row r="25" spans="1:31">
      <c r="A25" t="s">
        <v>49</v>
      </c>
      <c r="B25" t="s">
        <v>83</v>
      </c>
      <c r="C25" s="17">
        <v>29839.420999999998</v>
      </c>
      <c r="D25" s="17" t="s">
        <v>43</v>
      </c>
      <c r="E25">
        <f t="shared" si="0"/>
        <v>482.98234461138918</v>
      </c>
      <c r="F25">
        <f t="shared" si="1"/>
        <v>483</v>
      </c>
      <c r="G25">
        <f t="shared" si="2"/>
        <v>-5.2490000001853332E-2</v>
      </c>
      <c r="I25">
        <f t="shared" si="5"/>
        <v>-5.2490000001853332E-2</v>
      </c>
      <c r="O25">
        <f t="shared" ca="1" si="3"/>
        <v>4.9766898440115129E-3</v>
      </c>
      <c r="Q25" s="2">
        <f t="shared" si="4"/>
        <v>14820.920999999998</v>
      </c>
    </row>
    <row r="26" spans="1:31">
      <c r="A26" t="s">
        <v>49</v>
      </c>
      <c r="B26" t="s">
        <v>83</v>
      </c>
      <c r="C26" s="17">
        <v>29851.405999999999</v>
      </c>
      <c r="D26" s="17" t="s">
        <v>43</v>
      </c>
      <c r="E26">
        <f t="shared" si="0"/>
        <v>487.01358546667842</v>
      </c>
      <c r="F26">
        <f t="shared" si="1"/>
        <v>487</v>
      </c>
      <c r="G26">
        <f t="shared" si="2"/>
        <v>4.0389999998296844E-2</v>
      </c>
      <c r="I26">
        <f t="shared" si="5"/>
        <v>4.0389999998296844E-2</v>
      </c>
      <c r="O26">
        <f t="shared" ca="1" si="3"/>
        <v>5.3645561107203213E-3</v>
      </c>
      <c r="Q26" s="2">
        <f t="shared" si="4"/>
        <v>14832.905999999999</v>
      </c>
    </row>
    <row r="27" spans="1:31">
      <c r="A27" t="s">
        <v>49</v>
      </c>
      <c r="B27" t="s">
        <v>83</v>
      </c>
      <c r="C27" s="17">
        <v>30496.508000000002</v>
      </c>
      <c r="D27" s="17" t="s">
        <v>43</v>
      </c>
      <c r="E27">
        <f t="shared" si="0"/>
        <v>703.99827785121624</v>
      </c>
      <c r="F27">
        <f t="shared" si="1"/>
        <v>704</v>
      </c>
      <c r="G27">
        <f t="shared" si="2"/>
        <v>-5.1199999979871791E-3</v>
      </c>
      <c r="I27">
        <f t="shared" si="5"/>
        <v>-5.1199999979871791E-3</v>
      </c>
      <c r="O27">
        <f t="shared" ca="1" si="3"/>
        <v>2.6406301079673081E-2</v>
      </c>
      <c r="Q27" s="2">
        <f t="shared" si="4"/>
        <v>15478.008000000002</v>
      </c>
    </row>
    <row r="28" spans="1:31">
      <c r="A28" t="s">
        <v>49</v>
      </c>
      <c r="B28" t="s">
        <v>83</v>
      </c>
      <c r="C28" s="17">
        <v>30499.49</v>
      </c>
      <c r="D28" s="17" t="s">
        <v>43</v>
      </c>
      <c r="E28">
        <f t="shared" si="0"/>
        <v>705.00129497516059</v>
      </c>
      <c r="F28">
        <f t="shared" si="1"/>
        <v>705</v>
      </c>
      <c r="G28">
        <f t="shared" si="2"/>
        <v>3.8500000009662472E-3</v>
      </c>
      <c r="I28">
        <f t="shared" si="5"/>
        <v>3.8500000009662472E-3</v>
      </c>
      <c r="O28">
        <f t="shared" ca="1" si="3"/>
        <v>2.6503267646350276E-2</v>
      </c>
      <c r="Q28" s="2">
        <f t="shared" si="4"/>
        <v>15480.990000000002</v>
      </c>
    </row>
    <row r="29" spans="1:31">
      <c r="A29" t="s">
        <v>49</v>
      </c>
      <c r="B29" t="s">
        <v>83</v>
      </c>
      <c r="C29" s="17">
        <v>30936.505000000001</v>
      </c>
      <c r="D29" s="17" t="s">
        <v>43</v>
      </c>
      <c r="E29">
        <f t="shared" si="0"/>
        <v>851.99442992502634</v>
      </c>
      <c r="F29">
        <f t="shared" si="1"/>
        <v>852</v>
      </c>
      <c r="G29">
        <f t="shared" si="2"/>
        <v>-1.6560000000026776E-2</v>
      </c>
      <c r="I29">
        <f t="shared" si="5"/>
        <v>-1.6560000000026776E-2</v>
      </c>
      <c r="O29">
        <f t="shared" ca="1" si="3"/>
        <v>4.0757352947898923E-2</v>
      </c>
      <c r="Q29" s="2">
        <f t="shared" si="4"/>
        <v>15918.005000000001</v>
      </c>
    </row>
    <row r="30" spans="1:31">
      <c r="A30" t="s">
        <v>27</v>
      </c>
      <c r="C30" s="29">
        <v>48564.228000000003</v>
      </c>
      <c r="D30" s="17">
        <v>5.0000000000000001E-3</v>
      </c>
      <c r="E30">
        <f t="shared" si="0"/>
        <v>6781.2057059632771</v>
      </c>
      <c r="F30">
        <f t="shared" si="1"/>
        <v>6781</v>
      </c>
      <c r="G30">
        <f t="shared" si="2"/>
        <v>0.61157000000093831</v>
      </c>
      <c r="I30">
        <f t="shared" si="5"/>
        <v>0.61157000000093831</v>
      </c>
      <c r="O30">
        <f t="shared" ca="1" si="3"/>
        <v>0.61567212677702754</v>
      </c>
      <c r="Q30" s="2">
        <f t="shared" si="4"/>
        <v>33545.728000000003</v>
      </c>
      <c r="AA30">
        <v>35</v>
      </c>
      <c r="AC30" t="s">
        <v>26</v>
      </c>
      <c r="AE30" t="s">
        <v>28</v>
      </c>
    </row>
    <row r="31" spans="1:31">
      <c r="A31" t="s">
        <v>30</v>
      </c>
      <c r="C31" s="29">
        <v>50639.483</v>
      </c>
      <c r="D31" s="17">
        <v>4.0000000000000002E-4</v>
      </c>
      <c r="E31">
        <f t="shared" si="0"/>
        <v>7479.2326347194612</v>
      </c>
      <c r="F31">
        <f t="shared" si="1"/>
        <v>7479</v>
      </c>
      <c r="G31">
        <f t="shared" si="2"/>
        <v>0.69163000000116881</v>
      </c>
      <c r="I31">
        <f t="shared" si="5"/>
        <v>0.69163000000116881</v>
      </c>
      <c r="O31">
        <f t="shared" ca="1" si="3"/>
        <v>0.68335479031771418</v>
      </c>
      <c r="Q31" s="2">
        <f t="shared" si="4"/>
        <v>35620.983</v>
      </c>
      <c r="AA31">
        <v>19</v>
      </c>
      <c r="AC31" t="s">
        <v>29</v>
      </c>
      <c r="AE31" t="s">
        <v>28</v>
      </c>
    </row>
    <row r="32" spans="1:31">
      <c r="A32" t="s">
        <v>82</v>
      </c>
      <c r="B32" t="s">
        <v>83</v>
      </c>
      <c r="C32" s="17">
        <v>50639.483099999998</v>
      </c>
      <c r="D32" s="17" t="s">
        <v>43</v>
      </c>
      <c r="E32">
        <f t="shared" si="0"/>
        <v>7479.2326683551792</v>
      </c>
      <c r="F32">
        <f t="shared" si="1"/>
        <v>7479</v>
      </c>
      <c r="G32">
        <f t="shared" si="2"/>
        <v>0.6917299999986426</v>
      </c>
      <c r="J32">
        <f>G32</f>
        <v>0.6917299999986426</v>
      </c>
      <c r="O32">
        <f t="shared" ca="1" si="3"/>
        <v>0.68335479031771418</v>
      </c>
      <c r="Q32" s="2">
        <f t="shared" si="4"/>
        <v>35620.983099999998</v>
      </c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4"/>
  <sheetViews>
    <sheetView workbookViewId="0">
      <selection activeCell="A12" sqref="A12:D20"/>
    </sheetView>
  </sheetViews>
  <sheetFormatPr defaultRowHeight="12.75"/>
  <cols>
    <col min="1" max="1" width="19.7109375" style="17" customWidth="1"/>
    <col min="2" max="2" width="4.42578125" style="16" customWidth="1"/>
    <col min="3" max="3" width="12.7109375" style="17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7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15" t="s">
        <v>33</v>
      </c>
      <c r="I1" s="18" t="s">
        <v>34</v>
      </c>
      <c r="J1" s="19" t="s">
        <v>35</v>
      </c>
    </row>
    <row r="2" spans="1:16">
      <c r="I2" s="20" t="s">
        <v>36</v>
      </c>
      <c r="J2" s="21" t="s">
        <v>37</v>
      </c>
    </row>
    <row r="3" spans="1:16">
      <c r="A3" s="22" t="s">
        <v>38</v>
      </c>
      <c r="I3" s="20" t="s">
        <v>39</v>
      </c>
      <c r="J3" s="21" t="s">
        <v>40</v>
      </c>
    </row>
    <row r="4" spans="1:16">
      <c r="I4" s="20" t="s">
        <v>41</v>
      </c>
      <c r="J4" s="21" t="s">
        <v>40</v>
      </c>
    </row>
    <row r="5" spans="1:16" ht="13.5" thickBot="1">
      <c r="I5" s="23" t="s">
        <v>42</v>
      </c>
      <c r="J5" s="24" t="s">
        <v>43</v>
      </c>
    </row>
    <row r="10" spans="1:16" ht="13.5" thickBot="1"/>
    <row r="11" spans="1:16" ht="12.75" customHeight="1" thickBot="1">
      <c r="A11" s="17" t="str">
        <f t="shared" ref="A11:A20" si="0">P11</f>
        <v> BBS 99 </v>
      </c>
      <c r="B11" s="6" t="str">
        <f t="shared" ref="B11:B20" si="1">IF(H11=INT(H11),"I","II")</f>
        <v>I</v>
      </c>
      <c r="C11" s="17">
        <f t="shared" ref="C11:C20" si="2">1*G11</f>
        <v>48564.228000000003</v>
      </c>
      <c r="D11" s="16" t="str">
        <f t="shared" ref="D11:D20" si="3">VLOOKUP(F11,I$1:J$5,2,FALSE)</f>
        <v>vis</v>
      </c>
      <c r="E11" s="25">
        <f>VLOOKUP(C11,Active!C$21:E$973,3,FALSE)</f>
        <v>6781.2057059632771</v>
      </c>
      <c r="F11" s="6" t="s">
        <v>42</v>
      </c>
      <c r="G11" s="16" t="str">
        <f t="shared" ref="G11:G20" si="4">MID(I11,3,LEN(I11)-3)</f>
        <v>48564.228</v>
      </c>
      <c r="H11" s="17">
        <f t="shared" ref="H11:H20" si="5">1*K11</f>
        <v>-2669</v>
      </c>
      <c r="I11" s="26" t="s">
        <v>71</v>
      </c>
      <c r="J11" s="27" t="s">
        <v>72</v>
      </c>
      <c r="K11" s="26">
        <v>-2669</v>
      </c>
      <c r="L11" s="26" t="s">
        <v>73</v>
      </c>
      <c r="M11" s="27" t="s">
        <v>74</v>
      </c>
      <c r="N11" s="27" t="s">
        <v>75</v>
      </c>
      <c r="O11" s="28" t="s">
        <v>76</v>
      </c>
      <c r="P11" s="28" t="s">
        <v>77</v>
      </c>
    </row>
    <row r="12" spans="1:16" ht="12.75" customHeight="1" thickBot="1">
      <c r="A12" s="17" t="str">
        <f t="shared" si="0"/>
        <v> MVS 1.391 </v>
      </c>
      <c r="B12" s="6" t="str">
        <f t="shared" si="1"/>
        <v>I</v>
      </c>
      <c r="C12" s="17">
        <f t="shared" si="2"/>
        <v>28403.39</v>
      </c>
      <c r="D12" s="16" t="str">
        <f t="shared" si="3"/>
        <v>vis</v>
      </c>
      <c r="E12" s="25">
        <f>VLOOKUP(C12,Active!C$21:E$973,3,FALSE)</f>
        <v>-3.6999290286536653E-2</v>
      </c>
      <c r="F12" s="6" t="s">
        <v>42</v>
      </c>
      <c r="G12" s="16" t="str">
        <f t="shared" si="4"/>
        <v>28403.390</v>
      </c>
      <c r="H12" s="17">
        <f t="shared" si="5"/>
        <v>-9450</v>
      </c>
      <c r="I12" s="26" t="s">
        <v>44</v>
      </c>
      <c r="J12" s="27" t="s">
        <v>45</v>
      </c>
      <c r="K12" s="26">
        <v>-9450</v>
      </c>
      <c r="L12" s="26" t="s">
        <v>46</v>
      </c>
      <c r="M12" s="27" t="s">
        <v>47</v>
      </c>
      <c r="N12" s="27"/>
      <c r="O12" s="28" t="s">
        <v>48</v>
      </c>
      <c r="P12" s="28" t="s">
        <v>49</v>
      </c>
    </row>
    <row r="13" spans="1:16" ht="12.75" customHeight="1" thickBot="1">
      <c r="A13" s="17" t="str">
        <f t="shared" si="0"/>
        <v> MVS 1.391 </v>
      </c>
      <c r="B13" s="6" t="str">
        <f t="shared" si="1"/>
        <v>I</v>
      </c>
      <c r="C13" s="17">
        <f t="shared" si="2"/>
        <v>28433.339</v>
      </c>
      <c r="D13" s="16" t="str">
        <f t="shared" si="3"/>
        <v>vis</v>
      </c>
      <c r="E13" s="25">
        <f>VLOOKUP(C13,Active!C$21:E$973,3,FALSE)</f>
        <v>10.036562025946573</v>
      </c>
      <c r="F13" s="6" t="s">
        <v>42</v>
      </c>
      <c r="G13" s="16" t="str">
        <f t="shared" si="4"/>
        <v>28433.339</v>
      </c>
      <c r="H13" s="17">
        <f t="shared" si="5"/>
        <v>-9440</v>
      </c>
      <c r="I13" s="26" t="s">
        <v>50</v>
      </c>
      <c r="J13" s="27" t="s">
        <v>51</v>
      </c>
      <c r="K13" s="26">
        <v>-9440</v>
      </c>
      <c r="L13" s="26" t="s">
        <v>52</v>
      </c>
      <c r="M13" s="27" t="s">
        <v>47</v>
      </c>
      <c r="N13" s="27"/>
      <c r="O13" s="28" t="s">
        <v>48</v>
      </c>
      <c r="P13" s="28" t="s">
        <v>49</v>
      </c>
    </row>
    <row r="14" spans="1:16" ht="12.75" customHeight="1" thickBot="1">
      <c r="A14" s="17" t="str">
        <f t="shared" si="0"/>
        <v> MVS 1.391 </v>
      </c>
      <c r="B14" s="6" t="str">
        <f t="shared" si="1"/>
        <v>I</v>
      </c>
      <c r="C14" s="17">
        <f t="shared" si="2"/>
        <v>29194.308000000001</v>
      </c>
      <c r="D14" s="16" t="str">
        <f t="shared" si="3"/>
        <v>vis</v>
      </c>
      <c r="E14" s="25">
        <f>VLOOKUP(C14,Active!C$21:E$973,3,FALSE)</f>
        <v>265.99395229782442</v>
      </c>
      <c r="F14" s="6" t="s">
        <v>42</v>
      </c>
      <c r="G14" s="16" t="str">
        <f t="shared" si="4"/>
        <v>29194.308</v>
      </c>
      <c r="H14" s="17">
        <f t="shared" si="5"/>
        <v>-9184</v>
      </c>
      <c r="I14" s="26" t="s">
        <v>53</v>
      </c>
      <c r="J14" s="27" t="s">
        <v>54</v>
      </c>
      <c r="K14" s="26">
        <v>-9184</v>
      </c>
      <c r="L14" s="26" t="s">
        <v>55</v>
      </c>
      <c r="M14" s="27" t="s">
        <v>47</v>
      </c>
      <c r="N14" s="27"/>
      <c r="O14" s="28" t="s">
        <v>48</v>
      </c>
      <c r="P14" s="28" t="s">
        <v>49</v>
      </c>
    </row>
    <row r="15" spans="1:16" ht="12.75" customHeight="1" thickBot="1">
      <c r="A15" s="17" t="str">
        <f t="shared" si="0"/>
        <v> MVS 1.391 </v>
      </c>
      <c r="B15" s="6" t="str">
        <f t="shared" si="1"/>
        <v>I</v>
      </c>
      <c r="C15" s="17">
        <f t="shared" si="2"/>
        <v>29839.420999999998</v>
      </c>
      <c r="D15" s="16" t="str">
        <f t="shared" si="3"/>
        <v>vis</v>
      </c>
      <c r="E15" s="25">
        <f>VLOOKUP(C15,Active!C$21:E$973,3,FALSE)</f>
        <v>482.98234461138918</v>
      </c>
      <c r="F15" s="6" t="s">
        <v>42</v>
      </c>
      <c r="G15" s="16" t="str">
        <f t="shared" si="4"/>
        <v>29839.421</v>
      </c>
      <c r="H15" s="17">
        <f t="shared" si="5"/>
        <v>-8967</v>
      </c>
      <c r="I15" s="26" t="s">
        <v>56</v>
      </c>
      <c r="J15" s="27" t="s">
        <v>57</v>
      </c>
      <c r="K15" s="26">
        <v>-8967</v>
      </c>
      <c r="L15" s="26" t="s">
        <v>58</v>
      </c>
      <c r="M15" s="27" t="s">
        <v>47</v>
      </c>
      <c r="N15" s="27"/>
      <c r="O15" s="28" t="s">
        <v>48</v>
      </c>
      <c r="P15" s="28" t="s">
        <v>49</v>
      </c>
    </row>
    <row r="16" spans="1:16" ht="12.75" customHeight="1" thickBot="1">
      <c r="A16" s="17" t="str">
        <f t="shared" si="0"/>
        <v> MVS 1.391 </v>
      </c>
      <c r="B16" s="6" t="str">
        <f t="shared" si="1"/>
        <v>I</v>
      </c>
      <c r="C16" s="17">
        <f t="shared" si="2"/>
        <v>29851.405999999999</v>
      </c>
      <c r="D16" s="16" t="str">
        <f t="shared" si="3"/>
        <v>vis</v>
      </c>
      <c r="E16" s="25">
        <f>VLOOKUP(C16,Active!C$21:E$973,3,FALSE)</f>
        <v>487.01358546667842</v>
      </c>
      <c r="F16" s="6" t="s">
        <v>42</v>
      </c>
      <c r="G16" s="16" t="str">
        <f t="shared" si="4"/>
        <v>29851.406</v>
      </c>
      <c r="H16" s="17">
        <f t="shared" si="5"/>
        <v>-8963</v>
      </c>
      <c r="I16" s="26" t="s">
        <v>59</v>
      </c>
      <c r="J16" s="27" t="s">
        <v>60</v>
      </c>
      <c r="K16" s="26">
        <v>-8963</v>
      </c>
      <c r="L16" s="26" t="s">
        <v>61</v>
      </c>
      <c r="M16" s="27" t="s">
        <v>47</v>
      </c>
      <c r="N16" s="27"/>
      <c r="O16" s="28" t="s">
        <v>48</v>
      </c>
      <c r="P16" s="28" t="s">
        <v>49</v>
      </c>
    </row>
    <row r="17" spans="1:16" ht="12.75" customHeight="1" thickBot="1">
      <c r="A17" s="17" t="str">
        <f t="shared" si="0"/>
        <v> MVS 1.391 </v>
      </c>
      <c r="B17" s="6" t="str">
        <f t="shared" si="1"/>
        <v>I</v>
      </c>
      <c r="C17" s="17">
        <f t="shared" si="2"/>
        <v>30496.508000000002</v>
      </c>
      <c r="D17" s="16" t="str">
        <f t="shared" si="3"/>
        <v>vis</v>
      </c>
      <c r="E17" s="25">
        <f>VLOOKUP(C17,Active!C$21:E$973,3,FALSE)</f>
        <v>703.99827785121624</v>
      </c>
      <c r="F17" s="6" t="s">
        <v>42</v>
      </c>
      <c r="G17" s="16" t="str">
        <f t="shared" si="4"/>
        <v>30496.508</v>
      </c>
      <c r="H17" s="17">
        <f t="shared" si="5"/>
        <v>-8746</v>
      </c>
      <c r="I17" s="26" t="s">
        <v>62</v>
      </c>
      <c r="J17" s="27" t="s">
        <v>63</v>
      </c>
      <c r="K17" s="26">
        <v>-8746</v>
      </c>
      <c r="L17" s="26" t="s">
        <v>64</v>
      </c>
      <c r="M17" s="27" t="s">
        <v>47</v>
      </c>
      <c r="N17" s="27"/>
      <c r="O17" s="28" t="s">
        <v>48</v>
      </c>
      <c r="P17" s="28" t="s">
        <v>49</v>
      </c>
    </row>
    <row r="18" spans="1:16" ht="12.75" customHeight="1" thickBot="1">
      <c r="A18" s="17" t="str">
        <f t="shared" si="0"/>
        <v> MVS 1.391 </v>
      </c>
      <c r="B18" s="6" t="str">
        <f t="shared" si="1"/>
        <v>I</v>
      </c>
      <c r="C18" s="17">
        <f t="shared" si="2"/>
        <v>30499.49</v>
      </c>
      <c r="D18" s="16" t="str">
        <f t="shared" si="3"/>
        <v>vis</v>
      </c>
      <c r="E18" s="25">
        <f>VLOOKUP(C18,Active!C$21:E$973,3,FALSE)</f>
        <v>705.00129497516059</v>
      </c>
      <c r="F18" s="6" t="s">
        <v>42</v>
      </c>
      <c r="G18" s="16" t="str">
        <f t="shared" si="4"/>
        <v>30499.490</v>
      </c>
      <c r="H18" s="17">
        <f t="shared" si="5"/>
        <v>-8745</v>
      </c>
      <c r="I18" s="26" t="s">
        <v>65</v>
      </c>
      <c r="J18" s="27" t="s">
        <v>66</v>
      </c>
      <c r="K18" s="26">
        <v>-8745</v>
      </c>
      <c r="L18" s="26" t="s">
        <v>67</v>
      </c>
      <c r="M18" s="27" t="s">
        <v>47</v>
      </c>
      <c r="N18" s="27"/>
      <c r="O18" s="28" t="s">
        <v>48</v>
      </c>
      <c r="P18" s="28" t="s">
        <v>49</v>
      </c>
    </row>
    <row r="19" spans="1:16" ht="12.75" customHeight="1" thickBot="1">
      <c r="A19" s="17" t="str">
        <f t="shared" si="0"/>
        <v> MVS 1.391 </v>
      </c>
      <c r="B19" s="6" t="str">
        <f t="shared" si="1"/>
        <v>I</v>
      </c>
      <c r="C19" s="17">
        <f t="shared" si="2"/>
        <v>30936.505000000001</v>
      </c>
      <c r="D19" s="16" t="str">
        <f t="shared" si="3"/>
        <v>vis</v>
      </c>
      <c r="E19" s="25">
        <f>VLOOKUP(C19,Active!C$21:E$973,3,FALSE)</f>
        <v>851.99442992502634</v>
      </c>
      <c r="F19" s="6" t="s">
        <v>42</v>
      </c>
      <c r="G19" s="16" t="str">
        <f t="shared" si="4"/>
        <v>30936.505</v>
      </c>
      <c r="H19" s="17">
        <f t="shared" si="5"/>
        <v>-8598</v>
      </c>
      <c r="I19" s="26" t="s">
        <v>68</v>
      </c>
      <c r="J19" s="27" t="s">
        <v>69</v>
      </c>
      <c r="K19" s="26">
        <v>-8598</v>
      </c>
      <c r="L19" s="26" t="s">
        <v>70</v>
      </c>
      <c r="M19" s="27" t="s">
        <v>47</v>
      </c>
      <c r="N19" s="27"/>
      <c r="O19" s="28" t="s">
        <v>48</v>
      </c>
      <c r="P19" s="28" t="s">
        <v>49</v>
      </c>
    </row>
    <row r="20" spans="1:16" ht="12.75" customHeight="1" thickBot="1">
      <c r="A20" s="17" t="str">
        <f t="shared" si="0"/>
        <v> BBS 115 </v>
      </c>
      <c r="B20" s="6" t="str">
        <f t="shared" si="1"/>
        <v>I</v>
      </c>
      <c r="C20" s="17">
        <f t="shared" si="2"/>
        <v>50639.483099999998</v>
      </c>
      <c r="D20" s="16" t="str">
        <f t="shared" si="3"/>
        <v>vis</v>
      </c>
      <c r="E20" s="25">
        <f>VLOOKUP(C20,Active!C$21:E$973,3,FALSE)</f>
        <v>7479.2326683551792</v>
      </c>
      <c r="F20" s="6" t="s">
        <v>42</v>
      </c>
      <c r="G20" s="16" t="str">
        <f t="shared" si="4"/>
        <v>50639.4831</v>
      </c>
      <c r="H20" s="17">
        <f t="shared" si="5"/>
        <v>-1971</v>
      </c>
      <c r="I20" s="26" t="s">
        <v>78</v>
      </c>
      <c r="J20" s="27" t="s">
        <v>79</v>
      </c>
      <c r="K20" s="26">
        <v>-1971</v>
      </c>
      <c r="L20" s="26" t="s">
        <v>80</v>
      </c>
      <c r="M20" s="27" t="s">
        <v>74</v>
      </c>
      <c r="N20" s="27" t="s">
        <v>75</v>
      </c>
      <c r="O20" s="28" t="s">
        <v>81</v>
      </c>
      <c r="P20" s="28" t="s">
        <v>82</v>
      </c>
    </row>
    <row r="21" spans="1:16">
      <c r="B21" s="6"/>
      <c r="F21" s="6"/>
    </row>
    <row r="22" spans="1:16">
      <c r="B22" s="6"/>
      <c r="F22" s="6"/>
    </row>
    <row r="23" spans="1:16">
      <c r="B23" s="6"/>
      <c r="F23" s="6"/>
    </row>
    <row r="24" spans="1:16">
      <c r="B24" s="6"/>
      <c r="F24" s="6"/>
    </row>
    <row r="25" spans="1:16">
      <c r="B25" s="6"/>
      <c r="F25" s="6"/>
    </row>
    <row r="26" spans="1:16">
      <c r="B26" s="6"/>
      <c r="F26" s="6"/>
    </row>
    <row r="27" spans="1:16">
      <c r="B27" s="6"/>
      <c r="F27" s="6"/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2024-01-11T04:26:40Z</dcterms:modified>
</cp:coreProperties>
</file>