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EA98ADC-552C-4839-A1EB-A83F3EA6DA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5" i="1"/>
  <c r="C17" i="1"/>
  <c r="Q22" i="1"/>
  <c r="C21" i="1"/>
  <c r="C7" i="1"/>
  <c r="E22" i="1"/>
  <c r="F22" i="1"/>
  <c r="G22" i="1"/>
  <c r="I22" i="1"/>
  <c r="C8" i="1"/>
  <c r="E21" i="1"/>
  <c r="F21" i="1"/>
  <c r="G21" i="1"/>
  <c r="H21" i="1"/>
  <c r="Q21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<sst xmlns="http://schemas.openxmlformats.org/spreadsheetml/2006/main" count="44" uniqueCount="42">
  <si>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</si>
  <si>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</si>
  <si>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</si>
  <si>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</si>
  <si>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</si>
  <si>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</si>
  <si>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</si>
  <si>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</si>
  <si>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</si>
  <si>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</si>
  <si>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</si>
  <si>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</si>
  <si>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</si>
  <si>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</si>
  <si>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</si>
  <si>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</si>
  <si>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</si>
  <si>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</si>
  <si>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</si>
  <si>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</si>
  <si>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</si>
  <si>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</si>
  <si>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</si>
  <si>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</si>
  <si>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</si>
  <si>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</si>
  <si>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</si>
  <si>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</si>
  <si>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</si>
  <si>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</si>
  <si>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EW/KW</t>
  </si>
  <si>
    <t>IBVS 5643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</si>
  <si>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</si>
  <si>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</si>
  <si>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</si>
  <si>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</si>
  <si>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</si>
  <si>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</si>
  <si>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</si>
  <si>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</si>
  <si>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V0956 Aql / gsc 5711-0706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</si>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</sst>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NumberFormat="1" applyAlignment="1"/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V0956 Aql - O-C Diagr.</a:t>
            </a:r>
          </a:p>
        </c:rich>
      </c:tx>
      <c:layout>
        <c:manualLayout>
          <c:xMode val="edge"/>
          <c:yMode val="edge"/>
          <c:x val="0.3683363650626062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3-4B1A-8CF0-1791921DCB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8.9431000000331551E-2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23-4B1A-8CF0-1791921DCB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23-4B1A-8CF0-1791921DCB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23-4B1A-8CF0-1791921DCB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23-4B1A-8CF0-1791921DCB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23-4B1A-8CF0-1791921DCB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23-4B1A-8CF0-1791921DCB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8.9431000000331551E-2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23-4B1A-8CF0-1791921DC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20192"/>
        <c:axId val="1"/>
      </c:scatterChart>
      <c:valAx>
        <c:axId val="60152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52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9371647607054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15</xdr:col>
      <xdr:colOff>228600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F8DA6E-E511-8C07-C91D-36E21CA84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10" t="s">
        <v>30</v>
      </c>
    </row>
    <row r="4" spans="1:7" x14ac:dyDescent="0.2">
      <c r="A4" s="7" t="s">
        <v>0</v>
      </c>
      <c r="C4" s="3">
        <v>28671.518</v>
      </c>
      <c r="D4" s="4">
        <v>0.39617400000000003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28671.518</v>
      </c>
    </row>
    <row r="8" spans="1:7" x14ac:dyDescent="0.2">
      <c r="A8" t="s">
        <v>3</v>
      </c>
      <c r="C8">
        <f>+D4</f>
        <v>0.39617400000000003</v>
      </c>
    </row>
    <row r="9" spans="1:7" x14ac:dyDescent="0.2">
      <c r="A9" s="13" t="s">
        <v>33</v>
      </c>
      <c r="B9" s="10"/>
      <c r="C9" s="14">
        <v>-9.5</v>
      </c>
      <c r="D9" s="10" t="s">
        <v>34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15">
        <f ca="1">INTERCEPT(INDIRECT($G$11):G992,INDIRECT($F$11):F992)</f>
        <v>0</v>
      </c>
      <c r="D11" s="5"/>
      <c r="E11" s="10"/>
      <c r="F11" s="16" t="str">
        <f>"F"&amp;E19</f>
        <v>F21</v>
      </c>
      <c r="G11" s="17" t="str">
        <f>"G"&amp;E19</f>
        <v>G21</v>
      </c>
    </row>
    <row r="12" spans="1:7" x14ac:dyDescent="0.2">
      <c r="A12" s="10" t="s">
        <v>17</v>
      </c>
      <c r="B12" s="10"/>
      <c r="C12" s="15">
        <f ca="1">SLOPE(INDIRECT($G$11):G992,INDIRECT($F$11):F992)</f>
        <v>1.4650372275562762E-6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5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18" t="s">
        <v>18</v>
      </c>
      <c r="B15" s="10"/>
      <c r="C15" s="19">
        <f ca="1">(C7+C11)+(C8+C12)*INT(MAX(F21:F3533))</f>
        <v>52855.256912267483</v>
      </c>
      <c r="D15" s="20" t="s">
        <v>35</v>
      </c>
      <c r="E15" s="21">
        <f ca="1">TODAY()+15018.5-B9/24</f>
        <v>60320.5</v>
      </c>
    </row>
    <row r="16" spans="1:7" x14ac:dyDescent="0.2">
      <c r="A16" s="22" t="s">
        <v>4</v>
      </c>
      <c r="B16" s="10"/>
      <c r="C16" s="23">
        <f ca="1">+C8+C12</f>
        <v>0.39617546503722756</v>
      </c>
      <c r="D16" s="20" t="s">
        <v>36</v>
      </c>
      <c r="E16" s="21">
        <f ca="1">ROUND(2*(E15-C15)/C16,0)/2+1</f>
        <v>18844.5</v>
      </c>
    </row>
    <row r="17" spans="1:17" ht="13.5" thickBot="1" x14ac:dyDescent="0.25">
      <c r="A17" s="20" t="s">
        <v>32</v>
      </c>
      <c r="B17" s="10"/>
      <c r="C17" s="10">
        <f>COUNT(C21:C2191)</f>
        <v>2</v>
      </c>
      <c r="D17" s="20" t="s">
        <v>37</v>
      </c>
      <c r="E17" s="24">
        <f ca="1">+C15+C16*E16-15018.5-C9/24</f>
        <v>45302.881296494852</v>
      </c>
    </row>
    <row r="18" spans="1:17" x14ac:dyDescent="0.2">
      <c r="A18" s="22" t="s">
        <v>5</v>
      </c>
      <c r="B18" s="10"/>
      <c r="C18" s="25">
        <f ca="1">+C15</f>
        <v>52855.256912267483</v>
      </c>
      <c r="D18" s="26">
        <f ca="1">+C16</f>
        <v>0.39617546503722756</v>
      </c>
      <c r="E18" s="27" t="s">
        <v>38</v>
      </c>
    </row>
    <row r="19" spans="1:17" ht="13.5" thickTop="1" x14ac:dyDescent="0.2">
      <c r="A19" s="28" t="s">
        <v>39</v>
      </c>
      <c r="E19" s="29">
        <v>21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29</v>
      </c>
      <c r="J20" s="9" t="s">
        <v>41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>
        <f>+C4</f>
        <v>28671.518</v>
      </c>
      <c r="D21" s="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13653.018</v>
      </c>
    </row>
    <row r="22" spans="1:17" x14ac:dyDescent="0.2">
      <c r="A22" s="11" t="s">
        <v>31</v>
      </c>
      <c r="B22" s="11"/>
      <c r="C22" s="12">
        <v>52855.455000000002</v>
      </c>
      <c r="D22" s="5">
        <v>5.0000000000000001E-4</v>
      </c>
      <c r="E22">
        <f>+(C22-C$7)/C$8</f>
        <v>61043.725736671258</v>
      </c>
      <c r="F22">
        <f>ROUND(2*E22,0)/2</f>
        <v>61043.5</v>
      </c>
      <c r="G22">
        <f>+C22-(C$7+F22*C$8)</f>
        <v>8.9431000000331551E-2</v>
      </c>
      <c r="I22">
        <f>+G22</f>
        <v>8.9431000000331551E-2</v>
      </c>
      <c r="O22">
        <f ca="1">+C$11+C$12*$F22</f>
        <v>8.9431000000331551E-2</v>
      </c>
      <c r="Q22" s="2">
        <f>+C22-15018.5</f>
        <v>37836.955000000002</v>
      </c>
    </row>
    <row r="23" spans="1:17" x14ac:dyDescent="0.2">
      <c r="D23" s="5"/>
      <c r="Q23" s="2"/>
    </row>
    <row r="24" spans="1:17" x14ac:dyDescent="0.2">
      <c r="D24" s="5"/>
      <c r="Q24" s="2"/>
    </row>
    <row r="25" spans="1:17" x14ac:dyDescent="0.2">
      <c r="D25" s="5"/>
      <c r="Q25" s="2"/>
    </row>
    <row r="26" spans="1:17" x14ac:dyDescent="0.2">
      <c r="D26" s="5"/>
      <c r="Q26" s="2"/>
    </row>
    <row r="27" spans="1:17" x14ac:dyDescent="0.2">
      <c r="D27" s="5"/>
      <c r="Q27" s="2"/>
    </row>
    <row r="28" spans="1:17" x14ac:dyDescent="0.2">
      <c r="D28" s="5"/>
      <c r="Q28" s="2"/>
    </row>
    <row r="29" spans="1:17" x14ac:dyDescent="0.2">
      <c r="D29" s="5"/>
      <c r="Q29" s="2"/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2024-01-11T04:28:16Z</dcterms:modified>
</cp:coreProperties>
</file>