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5E1A6CC-FA77-4FD8-A6B3-0A85D1C7FB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3" i="1"/>
  <c r="Q22" i="1"/>
  <c r="Q23" i="1"/>
  <c r="Q24" i="1"/>
  <c r="Q27" i="1"/>
  <c r="Q30" i="1"/>
  <c r="Q31" i="1"/>
  <c r="G16" i="2"/>
  <c r="C16" i="2"/>
  <c r="G17" i="2"/>
  <c r="C17" i="2"/>
  <c r="G18" i="2"/>
  <c r="C18" i="2"/>
  <c r="G12" i="2"/>
  <c r="C12" i="2"/>
  <c r="G19" i="2"/>
  <c r="C19" i="2"/>
  <c r="G13" i="2"/>
  <c r="C13" i="2"/>
  <c r="G14" i="2"/>
  <c r="C14" i="2"/>
  <c r="G20" i="2"/>
  <c r="C20" i="2"/>
  <c r="G21" i="2"/>
  <c r="C21" i="2"/>
  <c r="G15" i="2"/>
  <c r="C15" i="2"/>
  <c r="G11" i="2"/>
  <c r="C11" i="2"/>
  <c r="H15" i="2"/>
  <c r="D15" i="2"/>
  <c r="B15" i="2"/>
  <c r="A15" i="2"/>
  <c r="H21" i="2"/>
  <c r="D21" i="2"/>
  <c r="B21" i="2"/>
  <c r="A21" i="2"/>
  <c r="H20" i="2"/>
  <c r="D20" i="2"/>
  <c r="B20" i="2"/>
  <c r="A20" i="2"/>
  <c r="H14" i="2"/>
  <c r="D14" i="2"/>
  <c r="B14" i="2"/>
  <c r="A14" i="2"/>
  <c r="H13" i="2"/>
  <c r="D13" i="2"/>
  <c r="B13" i="2"/>
  <c r="A13" i="2"/>
  <c r="H19" i="2"/>
  <c r="D19" i="2"/>
  <c r="B19" i="2"/>
  <c r="A19" i="2"/>
  <c r="H12" i="2"/>
  <c r="D12" i="2"/>
  <c r="B12" i="2"/>
  <c r="A12" i="2"/>
  <c r="H18" i="2"/>
  <c r="D18" i="2"/>
  <c r="B18" i="2"/>
  <c r="A18" i="2"/>
  <c r="H17" i="2"/>
  <c r="D17" i="2"/>
  <c r="B17" i="2"/>
  <c r="A17" i="2"/>
  <c r="H16" i="2"/>
  <c r="D16" i="2"/>
  <c r="B16" i="2"/>
  <c r="A16" i="2"/>
  <c r="H11" i="2"/>
  <c r="D11" i="2"/>
  <c r="B11" i="2"/>
  <c r="A11" i="2"/>
  <c r="Q32" i="1"/>
  <c r="F16" i="1"/>
  <c r="C17" i="1"/>
  <c r="C7" i="1"/>
  <c r="E26" i="1"/>
  <c r="F26" i="1"/>
  <c r="G26" i="1"/>
  <c r="I26" i="1"/>
  <c r="C8" i="1"/>
  <c r="E33" i="1"/>
  <c r="F33" i="1"/>
  <c r="Q29" i="1"/>
  <c r="Q25" i="1"/>
  <c r="Q28" i="1"/>
  <c r="Q26" i="1"/>
  <c r="Q21" i="1"/>
  <c r="E20" i="2"/>
  <c r="E16" i="2"/>
  <c r="E21" i="2"/>
  <c r="G32" i="1"/>
  <c r="J32" i="1"/>
  <c r="E28" i="1"/>
  <c r="F28" i="1"/>
  <c r="G28" i="1"/>
  <c r="K28" i="1"/>
  <c r="G24" i="1"/>
  <c r="I24" i="1"/>
  <c r="E31" i="1"/>
  <c r="F31" i="1"/>
  <c r="G31" i="1"/>
  <c r="K31" i="1"/>
  <c r="E22" i="1"/>
  <c r="F22" i="1"/>
  <c r="G22" i="1"/>
  <c r="E32" i="1"/>
  <c r="F32" i="1"/>
  <c r="G30" i="1"/>
  <c r="J30" i="1"/>
  <c r="E24" i="1"/>
  <c r="F24" i="1"/>
  <c r="G29" i="1"/>
  <c r="K29" i="1"/>
  <c r="E25" i="1"/>
  <c r="F25" i="1"/>
  <c r="G25" i="1"/>
  <c r="K25" i="1"/>
  <c r="E30" i="1"/>
  <c r="F30" i="1"/>
  <c r="E29" i="1"/>
  <c r="F29" i="1"/>
  <c r="G27" i="1"/>
  <c r="I27" i="1"/>
  <c r="E23" i="1"/>
  <c r="F23" i="1"/>
  <c r="G23" i="1"/>
  <c r="I23" i="1"/>
  <c r="E21" i="1"/>
  <c r="F21" i="1"/>
  <c r="G21" i="1"/>
  <c r="I21" i="1"/>
  <c r="G33" i="1"/>
  <c r="K33" i="1"/>
  <c r="E27" i="1"/>
  <c r="F27" i="1"/>
  <c r="E12" i="2"/>
  <c r="E17" i="2"/>
  <c r="E13" i="2"/>
  <c r="E14" i="2"/>
  <c r="E11" i="2"/>
  <c r="E19" i="2"/>
  <c r="I22" i="1"/>
  <c r="E15" i="2"/>
  <c r="E18" i="2"/>
  <c r="C11" i="1"/>
  <c r="C12" i="1"/>
  <c r="C16" i="1" l="1"/>
  <c r="D18" i="1" s="1"/>
  <c r="O27" i="1"/>
  <c r="O25" i="1"/>
  <c r="O23" i="1"/>
  <c r="O31" i="1"/>
  <c r="O33" i="1"/>
  <c r="O22" i="1"/>
  <c r="C15" i="1"/>
  <c r="O32" i="1"/>
  <c r="O30" i="1"/>
  <c r="O21" i="1"/>
  <c r="O29" i="1"/>
  <c r="O26" i="1"/>
  <c r="O28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<sst xmlns="http://schemas.openxmlformats.org/spreadsheetml/2006/main" count="169" uniqueCount="116">
  <si>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</si>
  <si>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</si>
  <si>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</si>
  <si>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</si>
  <si>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</si>
  <si>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</si>
  <si>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</si>
  <si>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</si>
  <si>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</si>
  <si>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</si>
  <si>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</si>
  <si>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</si>
  <si>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</si>
  <si>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</si>
  <si>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</si>
  <si>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</si>
  <si>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</si>
  <si>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</si>
  <si>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</si>
  <si>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</si>
  <si>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</si>
  <si>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</si>
  <si>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</si>
  <si>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</si>
  <si>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</si>
  <si>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</si>
  <si>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BBSAG Bull.115</t>
  </si>
  <si>
    <t>IBVS 5287</t>
  </si>
  <si>
    <t>I</t>
  </si>
  <si>
    <t>IBVS 4887</t>
  </si>
  <si>
    <t>IBVS 4888</t>
  </si>
  <si>
    <t>EA/SD:</t>
  </si>
  <si>
    <t># of data points:</t>
  </si>
  <si>
    <t>V1299 Aql / gsc 1084-1750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</si>
  <si>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</si>
  <si>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</si>
  <si>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</si>
  <si>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</si>
  <si>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</si>
  <si>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</si>
  <si>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</si>
  <si>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</si>
  <si>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5959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</si>
  <si>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</si>
  <si>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</si>
  <si>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</si>
  <si>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</si>
  <si>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</si>
  <si>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</si>
  <si>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</si>
  <si>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</si>
  <si>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</si>
  <si>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</si>
  <si>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</si>
  <si>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</si>
  <si>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2439237.559 </t>
  </si>
  <si>
    <t> 22.04.1966 01:24 </t>
  </si>
  <si>
    <t> -0.013 </t>
  </si>
  <si>
    <t> W.Zessewitsch </t>
  </si>
  <si>
    <t> AC 816 </t>
  </si>
  <si>
    <t>2447060.301 </t>
  </si>
  <si>
    <t> 21.09.1987 19:13 </t>
  </si>
  <si>
    <t> 0.003 </t>
  </si>
  <si>
    <t>V </t>
  </si>
  <si>
    <t> J.Manek </t>
  </si>
  <si>
    <t> BRNO 30 </t>
  </si>
  <si>
    <t>2447438.349 </t>
  </si>
  <si>
    <t> 03.10.1988 20:22 </t>
  </si>
  <si>
    <t> -0.006 </t>
  </si>
  <si>
    <t> A.Dedoch </t>
  </si>
  <si>
    <t>2447438.355 </t>
  </si>
  <si>
    <t> 03.10.1988 20:31 </t>
  </si>
  <si>
    <t> 0.000 </t>
  </si>
  <si>
    <t>2449932.4548 </t>
  </si>
  <si>
    <t> 02.08.1995 22:54 </t>
  </si>
  <si>
    <t> 0.0012 </t>
  </si>
  <si>
    <t>E </t>
  </si>
  <si>
    <t>?</t>
  </si>
  <si>
    <t> E.Safarova </t>
  </si>
  <si>
    <t>IBVS 4887 </t>
  </si>
  <si>
    <t>2450638.3999 </t>
  </si>
  <si>
    <t> 08.07.1997 21:35 </t>
  </si>
  <si>
    <t> 0.0017 </t>
  </si>
  <si>
    <t> E.Blättler </t>
  </si>
  <si>
    <t> BBS 115 </t>
  </si>
  <si>
    <t>2451016.4547 </t>
  </si>
  <si>
    <t> 21.07.1998 22:54 </t>
  </si>
  <si>
    <t> -0.0001 </t>
  </si>
  <si>
    <t> E.Safar </t>
  </si>
  <si>
    <t>IBVS 4888 </t>
  </si>
  <si>
    <t>2451799.4439 </t>
  </si>
  <si>
    <t> 11.09.2000 22:39 </t>
  </si>
  <si>
    <t> -0.0002 </t>
  </si>
  <si>
    <t> M.Zejda </t>
  </si>
  <si>
    <t>IBVS 5287 </t>
  </si>
  <si>
    <t>2454389.4095 </t>
  </si>
  <si>
    <t> 15.10.2007 21:49 </t>
  </si>
  <si>
    <t> 0.0087 </t>
  </si>
  <si>
    <t>C </t>
  </si>
  <si>
    <t>-I</t>
  </si>
  <si>
    <t> F.Agerer </t>
  </si>
  <si>
    <t>BAVM 193 </t>
  </si>
  <si>
    <t>2454663.5426 </t>
  </si>
  <si>
    <t> 16.07.2008 01:01 </t>
  </si>
  <si>
    <t>-166.5</t>
  </si>
  <si>
    <t> 0.0059 </t>
  </si>
  <si>
    <t>BAVM 203 </t>
  </si>
  <si>
    <t>2455352.4665 </t>
  </si>
  <si>
    <t> 04.06.2010 23:11 </t>
  </si>
  <si>
    <t>218</t>
  </si>
  <si>
    <t> 0.0067 </t>
  </si>
  <si>
    <t>BAVM 214 </t>
  </si>
  <si>
    <t>II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</si>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</sst>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V1299 Aql- O-C Diagr.</a:t>
            </a:r>
          </a:p>
        </c:rich>
      </c:tx>
      <c:layout>
        <c:manualLayout>
          <c:xMode val="edge"/>
          <c:yMode val="edge"/>
          <c:x val="0.3438665612895042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69252958613219"/>
          <c:w val="0.7843873289993038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0-48E4-BAD4-A63CA1B6D6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</c:v>
                </c:pt>
                <c:pt idx="1">
                  <c:v>-1.6670000004523899E-2</c:v>
                </c:pt>
                <c:pt idx="2">
                  <c:v>-2.6864999999816064E-2</c:v>
                </c:pt>
                <c:pt idx="3">
                  <c:v>-2.0864999998593703E-2</c:v>
                </c:pt>
                <c:pt idx="5">
                  <c:v>-3.3435000004828908E-2</c:v>
                </c:pt>
                <c:pt idx="6">
                  <c:v>-3.2535000005736947E-2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B0-48E4-BAD4-A63CA1B6D6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9">
                  <c:v>-4.1092499996011611E-2</c:v>
                </c:pt>
                <c:pt idx="11">
                  <c:v>-4.7029999994265381E-2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B0-48E4-BAD4-A63CA1B6D6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-3.0105000005278271E-2</c:v>
                </c:pt>
                <c:pt idx="7">
                  <c:v>-3.5929999998188578E-2</c:v>
                </c:pt>
                <c:pt idx="8">
                  <c:v>-3.9295000002312008E-2</c:v>
                </c:pt>
                <c:pt idx="10">
                  <c:v>-4.4977500001550652E-2</c:v>
                </c:pt>
                <c:pt idx="12">
                  <c:v>-5.8160000000498258E-2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B0-48E4-BAD4-A63CA1B6D6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B0-48E4-BAD4-A63CA1B6D6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B0-48E4-BAD4-A63CA1B6D6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3.0999999999999999E-3</c:v>
                  </c:pt>
                  <c:pt idx="5">
                    <c:v>8.9999999999999998E-4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2.0999999999999999E-3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8.9999999999999998E-4</c:v>
                  </c:pt>
                  <c:pt idx="1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B0-48E4-BAD4-A63CA1B6D6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4366</c:v>
                </c:pt>
                <c:pt idx="2">
                  <c:v>4577</c:v>
                </c:pt>
                <c:pt idx="3">
                  <c:v>4577</c:v>
                </c:pt>
                <c:pt idx="4">
                  <c:v>5969</c:v>
                </c:pt>
                <c:pt idx="5">
                  <c:v>6363</c:v>
                </c:pt>
                <c:pt idx="6">
                  <c:v>6363</c:v>
                </c:pt>
                <c:pt idx="7">
                  <c:v>6574</c:v>
                </c:pt>
                <c:pt idx="8">
                  <c:v>7011</c:v>
                </c:pt>
                <c:pt idx="9">
                  <c:v>8456.5</c:v>
                </c:pt>
                <c:pt idx="10">
                  <c:v>8609.5</c:v>
                </c:pt>
                <c:pt idx="11">
                  <c:v>8994</c:v>
                </c:pt>
                <c:pt idx="12">
                  <c:v>10228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4.9555446236546757E-3</c:v>
                </c:pt>
                <c:pt idx="1">
                  <c:v>-2.091593785823281E-2</c:v>
                </c:pt>
                <c:pt idx="2">
                  <c:v>-2.2166254579185227E-2</c:v>
                </c:pt>
                <c:pt idx="3">
                  <c:v>-2.2166254579185227E-2</c:v>
                </c:pt>
                <c:pt idx="4">
                  <c:v>-3.041478953447322E-2</c:v>
                </c:pt>
                <c:pt idx="5">
                  <c:v>-3.2749504169806175E-2</c:v>
                </c:pt>
                <c:pt idx="6">
                  <c:v>-3.2749504169806175E-2</c:v>
                </c:pt>
                <c:pt idx="7">
                  <c:v>-3.3999820890758592E-2</c:v>
                </c:pt>
                <c:pt idx="8">
                  <c:v>-3.6589339407612657E-2</c:v>
                </c:pt>
                <c:pt idx="9">
                  <c:v>-4.5154897796886216E-2</c:v>
                </c:pt>
                <c:pt idx="10">
                  <c:v>-4.6061525561368298E-2</c:v>
                </c:pt>
                <c:pt idx="11">
                  <c:v>-4.8339946315900079E-2</c:v>
                </c:pt>
                <c:pt idx="12">
                  <c:v>-5.5652225148389578E-2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B0-48E4-BAD4-A63CA1B6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55072"/>
        <c:axId val="1"/>
      </c:scatterChart>
      <c:valAx>
        <c:axId val="57495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55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58012079345101"/>
          <c:y val="0.92000129214617399"/>
          <c:w val="0.754647620720272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0</xdr:rowOff>
    </xdr:from>
    <xdr:to>
      <xdr:col>17</xdr:col>
      <xdr:colOff>600074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B8C67D-5C0D-9504-5410-C1C35E8CE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4888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5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</row>
    <row r="2" spans="1:6">
      <c r="A2" t="s">
        <v>25</v>
      </c>
      <c r="B2" s="11" t="s">
        <v>31</v>
      </c>
    </row>
    <row r="4" spans="1:6" ht="14.25" thickTop="1" thickBot="1">
      <c r="A4" s="7" t="s">
        <v>1</v>
      </c>
      <c r="C4" s="3">
        <v>39237.559000000001</v>
      </c>
      <c r="D4" s="4">
        <v>1.7917449999999999</v>
      </c>
    </row>
    <row r="5" spans="1:6" ht="13.5" thickTop="1">
      <c r="A5" s="12" t="s">
        <v>34</v>
      </c>
      <c r="B5" s="13"/>
      <c r="C5" s="14">
        <v>-9.5</v>
      </c>
      <c r="D5" s="13" t="s">
        <v>35</v>
      </c>
    </row>
    <row r="6" spans="1:6">
      <c r="A6" s="7" t="s">
        <v>2</v>
      </c>
    </row>
    <row r="7" spans="1:6">
      <c r="A7" t="s">
        <v>3</v>
      </c>
      <c r="C7">
        <f>+C4</f>
        <v>39237.559000000001</v>
      </c>
    </row>
    <row r="8" spans="1:6">
      <c r="A8" t="s">
        <v>4</v>
      </c>
      <c r="C8">
        <f>+D4</f>
        <v>1.7917449999999999</v>
      </c>
    </row>
    <row r="9" spans="1:6">
      <c r="A9" s="26" t="s">
        <v>39</v>
      </c>
      <c r="B9" s="27">
        <v>22</v>
      </c>
      <c r="C9" s="16" t="str">
        <f>"F"&amp;B9</f>
        <v>F22</v>
      </c>
      <c r="D9" s="10" t="str">
        <f>"G"&amp;B9</f>
        <v>G22</v>
      </c>
    </row>
    <row r="10" spans="1:6" ht="13.5" thickBot="1">
      <c r="A10" s="13"/>
      <c r="B10" s="13"/>
      <c r="C10" s="6" t="s">
        <v>21</v>
      </c>
      <c r="D10" s="6" t="s">
        <v>22</v>
      </c>
      <c r="E10" s="13"/>
    </row>
    <row r="11" spans="1:6">
      <c r="A11" s="13" t="s">
        <v>17</v>
      </c>
      <c r="B11" s="13"/>
      <c r="C11" s="15">
        <f ca="1">INTERCEPT(INDIRECT($D$9):G992,INDIRECT($C$9):F992)</f>
        <v>4.9555446236546757E-3</v>
      </c>
      <c r="D11" s="5"/>
      <c r="E11" s="13"/>
    </row>
    <row r="12" spans="1:6">
      <c r="A12" s="13" t="s">
        <v>18</v>
      </c>
      <c r="B12" s="13"/>
      <c r="C12" s="15">
        <f ca="1">SLOPE(INDIRECT($D$9):G992,INDIRECT($C$9):F992)</f>
        <v>-5.9256716632816047E-6</v>
      </c>
      <c r="D12" s="5"/>
      <c r="E12" s="13"/>
    </row>
    <row r="13" spans="1:6">
      <c r="A13" s="13" t="s">
        <v>20</v>
      </c>
      <c r="B13" s="13"/>
      <c r="C13" s="5" t="s">
        <v>15</v>
      </c>
    </row>
    <row r="14" spans="1:6">
      <c r="A14" s="13"/>
      <c r="B14" s="13"/>
      <c r="C14" s="13"/>
    </row>
    <row r="15" spans="1:6">
      <c r="A15" s="17" t="s">
        <v>19</v>
      </c>
      <c r="B15" s="13"/>
      <c r="C15" s="18">
        <f ca="1">(C7+C11)+(C8+C12)*INT(MAX(F21:F3533))</f>
        <v>57563.471207774855</v>
      </c>
      <c r="E15" s="19" t="s">
        <v>40</v>
      </c>
      <c r="F15" s="14">
        <v>1</v>
      </c>
    </row>
    <row r="16" spans="1:6">
      <c r="A16" s="21" t="s">
        <v>5</v>
      </c>
      <c r="B16" s="13"/>
      <c r="C16" s="22">
        <f ca="1">+C8+C12</f>
        <v>1.7917390743283366</v>
      </c>
      <c r="E16" s="19" t="s">
        <v>36</v>
      </c>
      <c r="F16" s="20">
        <f ca="1">NOW()+15018.5+$C$5/24</f>
        <v>60320.738961689814</v>
      </c>
    </row>
    <row r="17" spans="1:27" ht="13.5" thickBot="1">
      <c r="A17" s="19" t="s">
        <v>32</v>
      </c>
      <c r="B17" s="13"/>
      <c r="C17" s="13">
        <f>COUNT(C21:C2191)</f>
        <v>13</v>
      </c>
      <c r="E17" s="19" t="s">
        <v>41</v>
      </c>
      <c r="F17" s="20">
        <f ca="1">ROUND(2*(F16-$C$7)/$C$8,0)/2+F15</f>
        <v>11768</v>
      </c>
    </row>
    <row r="18" spans="1:27" ht="14.25" thickTop="1" thickBot="1">
      <c r="A18" s="21" t="s">
        <v>6</v>
      </c>
      <c r="B18" s="13"/>
      <c r="C18" s="24">
        <f ca="1">+C15</f>
        <v>57563.471207774855</v>
      </c>
      <c r="D18" s="25">
        <f ca="1">+C16</f>
        <v>1.7917390743283366</v>
      </c>
      <c r="E18" s="19" t="s">
        <v>37</v>
      </c>
      <c r="F18" s="10">
        <f ca="1">ROUND(2*(F16-$C$15)/$C$16,0)/2+F15</f>
        <v>1540</v>
      </c>
    </row>
    <row r="19" spans="1:27" ht="13.5" thickTop="1">
      <c r="E19" s="19" t="s">
        <v>38</v>
      </c>
      <c r="F19" s="23">
        <f ca="1">+$C$15+$C$16*F18-15018.5-$C$5/24</f>
        <v>45304.64521557383</v>
      </c>
    </row>
    <row r="20" spans="1:27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50</v>
      </c>
      <c r="I20" s="9" t="s">
        <v>53</v>
      </c>
      <c r="J20" s="9" t="s">
        <v>47</v>
      </c>
      <c r="K20" s="9" t="s">
        <v>45</v>
      </c>
      <c r="L20" s="9" t="s">
        <v>113</v>
      </c>
      <c r="M20" s="9" t="s">
        <v>114</v>
      </c>
      <c r="N20" s="9" t="s">
        <v>115</v>
      </c>
      <c r="O20" s="9" t="s">
        <v>24</v>
      </c>
      <c r="P20" s="8" t="s">
        <v>23</v>
      </c>
      <c r="Q20" s="6" t="s">
        <v>16</v>
      </c>
    </row>
    <row r="21" spans="1:27">
      <c r="A21" t="s">
        <v>13</v>
      </c>
      <c r="C21" s="31">
        <v>39237.559000000001</v>
      </c>
      <c r="D21" s="31" t="s">
        <v>15</v>
      </c>
      <c r="E21">
        <f t="shared" ref="E21:E32" si="0">+(C21-C$7)/C$8</f>
        <v>0</v>
      </c>
      <c r="F21">
        <f t="shared" ref="F21:F33" si="1">ROUND(2*E21,0)/2</f>
        <v>0</v>
      </c>
      <c r="G21">
        <f t="shared" ref="G21:G32" si="2">+C21-(C$7+F21*C$8)</f>
        <v>0</v>
      </c>
      <c r="H21" s="10"/>
      <c r="I21">
        <f>G21</f>
        <v>0</v>
      </c>
      <c r="O21">
        <f t="shared" ref="O21:O32" ca="1" si="3">+C$11+C$12*F21</f>
        <v>4.9555446236546757E-3</v>
      </c>
      <c r="Q21" s="2">
        <f t="shared" ref="Q21:Q32" si="4">+C21-15018.5</f>
        <v>24219.059000000001</v>
      </c>
    </row>
    <row r="22" spans="1:27">
      <c r="A22" s="10" t="s">
        <v>65</v>
      </c>
      <c r="B22" s="5" t="s">
        <v>28</v>
      </c>
      <c r="C22" s="31">
        <v>47060.300999999999</v>
      </c>
      <c r="D22" s="31" t="s">
        <v>53</v>
      </c>
      <c r="E22">
        <f t="shared" si="0"/>
        <v>4365.9906962207224</v>
      </c>
      <c r="F22">
        <f t="shared" si="1"/>
        <v>4366</v>
      </c>
      <c r="G22">
        <f t="shared" si="2"/>
        <v>-1.6670000004523899E-2</v>
      </c>
      <c r="I22">
        <f>G22</f>
        <v>-1.6670000004523899E-2</v>
      </c>
      <c r="O22">
        <f t="shared" ca="1" si="3"/>
        <v>-2.091593785823281E-2</v>
      </c>
      <c r="Q22" s="2">
        <f t="shared" si="4"/>
        <v>32041.800999999999</v>
      </c>
      <c r="AA22" s="5"/>
    </row>
    <row r="23" spans="1:27">
      <c r="A23" s="10" t="s">
        <v>65</v>
      </c>
      <c r="B23" s="5" t="s">
        <v>28</v>
      </c>
      <c r="C23" s="31">
        <v>47438.349000000002</v>
      </c>
      <c r="D23" s="31" t="s">
        <v>53</v>
      </c>
      <c r="E23">
        <f t="shared" si="0"/>
        <v>4576.9850062369369</v>
      </c>
      <c r="F23">
        <f t="shared" si="1"/>
        <v>4577</v>
      </c>
      <c r="G23">
        <f t="shared" si="2"/>
        <v>-2.6864999999816064E-2</v>
      </c>
      <c r="I23">
        <f>G23</f>
        <v>-2.6864999999816064E-2</v>
      </c>
      <c r="O23">
        <f t="shared" ca="1" si="3"/>
        <v>-2.2166254579185227E-2</v>
      </c>
      <c r="Q23" s="2">
        <f t="shared" si="4"/>
        <v>32419.849000000002</v>
      </c>
    </row>
    <row r="24" spans="1:27">
      <c r="A24" s="10" t="s">
        <v>65</v>
      </c>
      <c r="B24" s="5" t="s">
        <v>28</v>
      </c>
      <c r="C24" s="31">
        <v>47438.355000000003</v>
      </c>
      <c r="D24" s="31" t="s">
        <v>53</v>
      </c>
      <c r="E24">
        <f t="shared" si="0"/>
        <v>4576.9883549277392</v>
      </c>
      <c r="F24">
        <f t="shared" si="1"/>
        <v>4577</v>
      </c>
      <c r="G24">
        <f t="shared" si="2"/>
        <v>-2.0864999998593703E-2</v>
      </c>
      <c r="I24">
        <f>G24</f>
        <v>-2.0864999998593703E-2</v>
      </c>
      <c r="O24">
        <f t="shared" ca="1" si="3"/>
        <v>-2.2166254579185227E-2</v>
      </c>
      <c r="Q24" s="2">
        <f t="shared" si="4"/>
        <v>32419.855000000003</v>
      </c>
    </row>
    <row r="25" spans="1:27">
      <c r="A25" t="s">
        <v>29</v>
      </c>
      <c r="C25" s="31">
        <v>49932.4548</v>
      </c>
      <c r="D25" s="31">
        <v>3.0999999999999999E-3</v>
      </c>
      <c r="E25">
        <f t="shared" si="0"/>
        <v>5968.9831979439032</v>
      </c>
      <c r="F25">
        <f t="shared" si="1"/>
        <v>5969</v>
      </c>
      <c r="G25">
        <f t="shared" si="2"/>
        <v>-3.0105000005278271E-2</v>
      </c>
      <c r="K25">
        <f>G25</f>
        <v>-3.0105000005278271E-2</v>
      </c>
      <c r="O25">
        <f t="shared" ca="1" si="3"/>
        <v>-3.041478953447322E-2</v>
      </c>
      <c r="Q25" s="2">
        <f t="shared" si="4"/>
        <v>34913.9548</v>
      </c>
    </row>
    <row r="26" spans="1:27">
      <c r="A26" t="s">
        <v>26</v>
      </c>
      <c r="B26" s="5"/>
      <c r="C26" s="44">
        <v>50638.398999999998</v>
      </c>
      <c r="D26" s="31">
        <v>8.9999999999999998E-4</v>
      </c>
      <c r="E26">
        <f t="shared" si="0"/>
        <v>6362.9813394205075</v>
      </c>
      <c r="F26">
        <f t="shared" si="1"/>
        <v>6363</v>
      </c>
      <c r="G26">
        <f t="shared" si="2"/>
        <v>-3.3435000004828908E-2</v>
      </c>
      <c r="I26">
        <f>G26</f>
        <v>-3.3435000004828908E-2</v>
      </c>
      <c r="O26">
        <f t="shared" ca="1" si="3"/>
        <v>-3.2749504169806175E-2</v>
      </c>
      <c r="Q26" s="2">
        <f t="shared" si="4"/>
        <v>35619.898999999998</v>
      </c>
    </row>
    <row r="27" spans="1:27">
      <c r="A27" s="10" t="s">
        <v>84</v>
      </c>
      <c r="B27" s="5" t="s">
        <v>28</v>
      </c>
      <c r="C27" s="31">
        <v>50638.399899999997</v>
      </c>
      <c r="D27" s="31" t="s">
        <v>53</v>
      </c>
      <c r="E27">
        <f t="shared" si="0"/>
        <v>6362.9818417241268</v>
      </c>
      <c r="F27">
        <f t="shared" si="1"/>
        <v>6363</v>
      </c>
      <c r="G27">
        <f t="shared" si="2"/>
        <v>-3.2535000005736947E-2</v>
      </c>
      <c r="I27">
        <f>G27</f>
        <v>-3.2535000005736947E-2</v>
      </c>
      <c r="O27">
        <f t="shared" ca="1" si="3"/>
        <v>-3.2749504169806175E-2</v>
      </c>
      <c r="Q27" s="2">
        <f t="shared" si="4"/>
        <v>35619.899899999997</v>
      </c>
    </row>
    <row r="28" spans="1:27">
      <c r="A28" t="s">
        <v>30</v>
      </c>
      <c r="B28" s="5"/>
      <c r="C28" s="31">
        <v>51016.454700000002</v>
      </c>
      <c r="D28" s="31">
        <v>3.5000000000000001E-3</v>
      </c>
      <c r="E28">
        <f t="shared" si="0"/>
        <v>6573.9799469232512</v>
      </c>
      <c r="F28">
        <f t="shared" si="1"/>
        <v>6574</v>
      </c>
      <c r="G28">
        <f t="shared" si="2"/>
        <v>-3.5929999998188578E-2</v>
      </c>
      <c r="K28">
        <f>G28</f>
        <v>-3.5929999998188578E-2</v>
      </c>
      <c r="O28">
        <f t="shared" ca="1" si="3"/>
        <v>-3.3999820890758592E-2</v>
      </c>
      <c r="Q28" s="2">
        <f t="shared" si="4"/>
        <v>35997.954700000002</v>
      </c>
    </row>
    <row r="29" spans="1:27">
      <c r="A29" t="s">
        <v>27</v>
      </c>
      <c r="B29" s="5" t="s">
        <v>28</v>
      </c>
      <c r="C29" s="45">
        <v>51799.443899999998</v>
      </c>
      <c r="D29" s="45">
        <v>2.0999999999999999E-3</v>
      </c>
      <c r="E29">
        <f t="shared" si="0"/>
        <v>7010.9780688658248</v>
      </c>
      <c r="F29">
        <f t="shared" si="1"/>
        <v>7011</v>
      </c>
      <c r="G29">
        <f t="shared" si="2"/>
        <v>-3.9295000002312008E-2</v>
      </c>
      <c r="K29">
        <f>G29</f>
        <v>-3.9295000002312008E-2</v>
      </c>
      <c r="O29">
        <f t="shared" ca="1" si="3"/>
        <v>-3.6589339407612657E-2</v>
      </c>
      <c r="Q29" s="2">
        <f t="shared" si="4"/>
        <v>36780.943899999998</v>
      </c>
    </row>
    <row r="30" spans="1:27">
      <c r="A30" s="10" t="s">
        <v>101</v>
      </c>
      <c r="B30" s="5" t="s">
        <v>112</v>
      </c>
      <c r="C30" s="31">
        <v>54389.409500000002</v>
      </c>
      <c r="D30" s="31" t="s">
        <v>53</v>
      </c>
      <c r="E30">
        <f t="shared" si="0"/>
        <v>8456.4770656538749</v>
      </c>
      <c r="F30">
        <f t="shared" si="1"/>
        <v>8456.5</v>
      </c>
      <c r="G30">
        <f t="shared" si="2"/>
        <v>-4.1092499996011611E-2</v>
      </c>
      <c r="J30">
        <f>G30</f>
        <v>-4.1092499996011611E-2</v>
      </c>
      <c r="O30">
        <f t="shared" ca="1" si="3"/>
        <v>-4.5154897796886216E-2</v>
      </c>
      <c r="Q30" s="2">
        <f t="shared" si="4"/>
        <v>39370.909500000002</v>
      </c>
    </row>
    <row r="31" spans="1:27">
      <c r="A31" s="10" t="s">
        <v>106</v>
      </c>
      <c r="B31" s="5" t="s">
        <v>112</v>
      </c>
      <c r="C31" s="31">
        <v>54663.542600000001</v>
      </c>
      <c r="D31" s="31" t="s">
        <v>53</v>
      </c>
      <c r="E31">
        <f t="shared" si="0"/>
        <v>8609.47489737658</v>
      </c>
      <c r="F31">
        <f t="shared" si="1"/>
        <v>8609.5</v>
      </c>
      <c r="G31">
        <f t="shared" si="2"/>
        <v>-4.4977500001550652E-2</v>
      </c>
      <c r="K31">
        <f>G31</f>
        <v>-4.4977500001550652E-2</v>
      </c>
      <c r="O31">
        <f t="shared" ca="1" si="3"/>
        <v>-4.6061525561368298E-2</v>
      </c>
      <c r="Q31" s="2">
        <f t="shared" si="4"/>
        <v>39645.042600000001</v>
      </c>
    </row>
    <row r="32" spans="1:27">
      <c r="A32" s="28" t="s">
        <v>42</v>
      </c>
      <c r="B32" s="29" t="s">
        <v>28</v>
      </c>
      <c r="C32" s="28">
        <v>55352.466500000002</v>
      </c>
      <c r="D32" s="28">
        <v>8.9999999999999998E-4</v>
      </c>
      <c r="E32">
        <f t="shared" si="0"/>
        <v>8993.9737518452694</v>
      </c>
      <c r="F32">
        <f t="shared" si="1"/>
        <v>8994</v>
      </c>
      <c r="G32">
        <f t="shared" si="2"/>
        <v>-4.7029999994265381E-2</v>
      </c>
      <c r="J32">
        <f>G32</f>
        <v>-4.7029999994265381E-2</v>
      </c>
      <c r="O32">
        <f t="shared" ca="1" si="3"/>
        <v>-4.8339946315900079E-2</v>
      </c>
      <c r="Q32" s="2">
        <f t="shared" si="4"/>
        <v>40333.966500000002</v>
      </c>
    </row>
    <row r="33" spans="1:17">
      <c r="A33" s="46" t="s">
        <v>0</v>
      </c>
      <c r="B33" s="47" t="s">
        <v>28</v>
      </c>
      <c r="C33" s="48">
        <v>57563.468699999998</v>
      </c>
      <c r="D33" s="49">
        <v>2.2000000000000001E-3</v>
      </c>
      <c r="E33">
        <f>+(C33-C$7)/C$8</f>
        <v>10227.96754002383</v>
      </c>
      <c r="F33">
        <f t="shared" si="1"/>
        <v>10228</v>
      </c>
      <c r="G33">
        <f>+C33-(C$7+F33*C$8)</f>
        <v>-5.8160000000498258E-2</v>
      </c>
      <c r="K33">
        <f>G33</f>
        <v>-5.8160000000498258E-2</v>
      </c>
      <c r="O33">
        <f ca="1">+C$11+C$12*F33</f>
        <v>-5.5652225148389578E-2</v>
      </c>
      <c r="Q33" s="2">
        <f>+C33-15018.5</f>
        <v>42544.968699999998</v>
      </c>
    </row>
    <row r="34" spans="1:17">
      <c r="B34" s="5"/>
      <c r="C34" s="31"/>
      <c r="D34" s="31"/>
    </row>
    <row r="35" spans="1:17">
      <c r="C35" s="31"/>
      <c r="D35" s="31"/>
    </row>
    <row r="36" spans="1:17">
      <c r="D36" s="5"/>
    </row>
    <row r="37" spans="1:17">
      <c r="D37" s="5"/>
    </row>
    <row r="38" spans="1:17">
      <c r="D38" s="5"/>
    </row>
    <row r="39" spans="1:17">
      <c r="D39" s="5"/>
    </row>
    <row r="40" spans="1:17">
      <c r="D40" s="5"/>
    </row>
    <row r="41" spans="1:17">
      <c r="D41" s="5"/>
    </row>
    <row r="42" spans="1:17">
      <c r="D42" s="5"/>
    </row>
    <row r="43" spans="1:17">
      <c r="D43" s="5"/>
    </row>
    <row r="44" spans="1:17">
      <c r="D44" s="5"/>
    </row>
    <row r="45" spans="1:17">
      <c r="D45" s="5"/>
    </row>
    <row r="46" spans="1:17">
      <c r="D46" s="5"/>
    </row>
  </sheetData>
  <phoneticPr fontId="8" type="noConversion"/>
  <hyperlinks>
    <hyperlink ref="H3378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1"/>
  <sheetViews>
    <sheetView workbookViewId="0">
      <selection activeCell="A16" sqref="A16:D21"/>
    </sheetView>
  </sheetViews>
  <sheetFormatPr defaultRowHeight="12.75"/>
  <cols>
    <col min="1" max="1" width="19.7109375" style="31" customWidth="1"/>
    <col min="2" max="2" width="4.42578125" style="13" customWidth="1"/>
    <col min="3" max="3" width="12.7109375" style="31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31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0" t="s">
        <v>43</v>
      </c>
      <c r="I1" s="32" t="s">
        <v>44</v>
      </c>
      <c r="J1" s="33" t="s">
        <v>45</v>
      </c>
    </row>
    <row r="2" spans="1:16">
      <c r="I2" s="34" t="s">
        <v>46</v>
      </c>
      <c r="J2" s="35" t="s">
        <v>47</v>
      </c>
    </row>
    <row r="3" spans="1:16">
      <c r="A3" s="36" t="s">
        <v>48</v>
      </c>
      <c r="I3" s="34" t="s">
        <v>49</v>
      </c>
      <c r="J3" s="35" t="s">
        <v>50</v>
      </c>
    </row>
    <row r="4" spans="1:16">
      <c r="I4" s="34" t="s">
        <v>51</v>
      </c>
      <c r="J4" s="35" t="s">
        <v>50</v>
      </c>
    </row>
    <row r="5" spans="1:16" ht="13.5" thickBot="1">
      <c r="I5" s="37" t="s">
        <v>52</v>
      </c>
      <c r="J5" s="38" t="s">
        <v>53</v>
      </c>
    </row>
    <row r="10" spans="1:16" ht="13.5" thickBot="1"/>
    <row r="11" spans="1:16" ht="12.75" customHeight="1" thickBot="1">
      <c r="A11" s="31" t="str">
        <f t="shared" ref="A11:A21" si="0">P11</f>
        <v> AC 816 </v>
      </c>
      <c r="B11" s="5" t="str">
        <f t="shared" ref="B11:B21" si="1">IF(H11=INT(H11),"I","II")</f>
        <v>I</v>
      </c>
      <c r="C11" s="31">
        <f t="shared" ref="C11:C21" si="2">1*G11</f>
        <v>39237.559000000001</v>
      </c>
      <c r="D11" s="13" t="str">
        <f t="shared" ref="D11:D21" si="3">VLOOKUP(F11,I$1:J$5,2,FALSE)</f>
        <v>vis</v>
      </c>
      <c r="E11" s="39">
        <f>VLOOKUP(C11,Active!C$21:E$973,3,FALSE)</f>
        <v>0</v>
      </c>
      <c r="F11" s="5" t="s">
        <v>52</v>
      </c>
      <c r="G11" s="13" t="str">
        <f t="shared" ref="G11:G21" si="4">MID(I11,3,LEN(I11)-3)</f>
        <v>39237.559</v>
      </c>
      <c r="H11" s="31">
        <f t="shared" ref="H11:H21" si="5">1*K11</f>
        <v>-8776</v>
      </c>
      <c r="I11" s="40" t="s">
        <v>55</v>
      </c>
      <c r="J11" s="41" t="s">
        <v>56</v>
      </c>
      <c r="K11" s="40">
        <v>-8776</v>
      </c>
      <c r="L11" s="40" t="s">
        <v>57</v>
      </c>
      <c r="M11" s="41" t="s">
        <v>54</v>
      </c>
      <c r="N11" s="41"/>
      <c r="O11" s="42" t="s">
        <v>58</v>
      </c>
      <c r="P11" s="42" t="s">
        <v>59</v>
      </c>
    </row>
    <row r="12" spans="1:16" ht="12.75" customHeight="1" thickBot="1">
      <c r="A12" s="31" t="str">
        <f t="shared" si="0"/>
        <v>IBVS 4887 </v>
      </c>
      <c r="B12" s="5" t="str">
        <f t="shared" si="1"/>
        <v>I</v>
      </c>
      <c r="C12" s="31">
        <f t="shared" si="2"/>
        <v>49932.4548</v>
      </c>
      <c r="D12" s="13" t="str">
        <f t="shared" si="3"/>
        <v>vis</v>
      </c>
      <c r="E12" s="39">
        <f>VLOOKUP(C12,Active!C$21:E$973,3,FALSE)</f>
        <v>5968.9831979439032</v>
      </c>
      <c r="F12" s="5" t="s">
        <v>52</v>
      </c>
      <c r="G12" s="13" t="str">
        <f t="shared" si="4"/>
        <v>49932.4548</v>
      </c>
      <c r="H12" s="31">
        <f t="shared" si="5"/>
        <v>-2807</v>
      </c>
      <c r="I12" s="40" t="s">
        <v>73</v>
      </c>
      <c r="J12" s="41" t="s">
        <v>74</v>
      </c>
      <c r="K12" s="40">
        <v>-2807</v>
      </c>
      <c r="L12" s="40" t="s">
        <v>75</v>
      </c>
      <c r="M12" s="41" t="s">
        <v>76</v>
      </c>
      <c r="N12" s="41" t="s">
        <v>77</v>
      </c>
      <c r="O12" s="42" t="s">
        <v>78</v>
      </c>
      <c r="P12" s="43" t="s">
        <v>79</v>
      </c>
    </row>
    <row r="13" spans="1:16" ht="12.75" customHeight="1" thickBot="1">
      <c r="A13" s="31" t="str">
        <f t="shared" si="0"/>
        <v>IBVS 4888 </v>
      </c>
      <c r="B13" s="5" t="str">
        <f t="shared" si="1"/>
        <v>I</v>
      </c>
      <c r="C13" s="31">
        <f t="shared" si="2"/>
        <v>51016.454700000002</v>
      </c>
      <c r="D13" s="13" t="str">
        <f t="shared" si="3"/>
        <v>vis</v>
      </c>
      <c r="E13" s="39">
        <f>VLOOKUP(C13,Active!C$21:E$973,3,FALSE)</f>
        <v>6573.9799469232512</v>
      </c>
      <c r="F13" s="5" t="s">
        <v>52</v>
      </c>
      <c r="G13" s="13" t="str">
        <f t="shared" si="4"/>
        <v>51016.4547</v>
      </c>
      <c r="H13" s="31">
        <f t="shared" si="5"/>
        <v>-2202</v>
      </c>
      <c r="I13" s="40" t="s">
        <v>85</v>
      </c>
      <c r="J13" s="41" t="s">
        <v>86</v>
      </c>
      <c r="K13" s="40">
        <v>-2202</v>
      </c>
      <c r="L13" s="40" t="s">
        <v>87</v>
      </c>
      <c r="M13" s="41" t="s">
        <v>76</v>
      </c>
      <c r="N13" s="41" t="s">
        <v>77</v>
      </c>
      <c r="O13" s="42" t="s">
        <v>88</v>
      </c>
      <c r="P13" s="43" t="s">
        <v>89</v>
      </c>
    </row>
    <row r="14" spans="1:16" ht="12.75" customHeight="1" thickBot="1">
      <c r="A14" s="31" t="str">
        <f t="shared" si="0"/>
        <v>IBVS 5287 </v>
      </c>
      <c r="B14" s="5" t="str">
        <f t="shared" si="1"/>
        <v>I</v>
      </c>
      <c r="C14" s="31">
        <f t="shared" si="2"/>
        <v>51799.443899999998</v>
      </c>
      <c r="D14" s="13" t="str">
        <f t="shared" si="3"/>
        <v>vis</v>
      </c>
      <c r="E14" s="39">
        <f>VLOOKUP(C14,Active!C$21:E$973,3,FALSE)</f>
        <v>7010.9780688658248</v>
      </c>
      <c r="F14" s="5" t="s">
        <v>52</v>
      </c>
      <c r="G14" s="13" t="str">
        <f t="shared" si="4"/>
        <v>51799.4439</v>
      </c>
      <c r="H14" s="31">
        <f t="shared" si="5"/>
        <v>-1765</v>
      </c>
      <c r="I14" s="40" t="s">
        <v>90</v>
      </c>
      <c r="J14" s="41" t="s">
        <v>91</v>
      </c>
      <c r="K14" s="40">
        <v>-1765</v>
      </c>
      <c r="L14" s="40" t="s">
        <v>92</v>
      </c>
      <c r="M14" s="41" t="s">
        <v>76</v>
      </c>
      <c r="N14" s="41" t="s">
        <v>77</v>
      </c>
      <c r="O14" s="42" t="s">
        <v>93</v>
      </c>
      <c r="P14" s="43" t="s">
        <v>94</v>
      </c>
    </row>
    <row r="15" spans="1:16" ht="12.75" customHeight="1" thickBot="1">
      <c r="A15" s="31" t="str">
        <f t="shared" si="0"/>
        <v>BAVM 214 </v>
      </c>
      <c r="B15" s="5" t="str">
        <f t="shared" si="1"/>
        <v>I</v>
      </c>
      <c r="C15" s="31">
        <f t="shared" si="2"/>
        <v>55352.466500000002</v>
      </c>
      <c r="D15" s="13" t="str">
        <f t="shared" si="3"/>
        <v>vis</v>
      </c>
      <c r="E15" s="39">
        <f>VLOOKUP(C15,Active!C$21:E$973,3,FALSE)</f>
        <v>8993.9737518452694</v>
      </c>
      <c r="F15" s="5" t="s">
        <v>52</v>
      </c>
      <c r="G15" s="13" t="str">
        <f t="shared" si="4"/>
        <v>55352.4665</v>
      </c>
      <c r="H15" s="31">
        <f t="shared" si="5"/>
        <v>218</v>
      </c>
      <c r="I15" s="40" t="s">
        <v>107</v>
      </c>
      <c r="J15" s="41" t="s">
        <v>108</v>
      </c>
      <c r="K15" s="40" t="s">
        <v>109</v>
      </c>
      <c r="L15" s="40" t="s">
        <v>110</v>
      </c>
      <c r="M15" s="41" t="s">
        <v>98</v>
      </c>
      <c r="N15" s="41" t="s">
        <v>99</v>
      </c>
      <c r="O15" s="42" t="s">
        <v>100</v>
      </c>
      <c r="P15" s="43" t="s">
        <v>111</v>
      </c>
    </row>
    <row r="16" spans="1:16" ht="12.75" customHeight="1" thickBot="1">
      <c r="A16" s="31" t="str">
        <f t="shared" si="0"/>
        <v> BRNO 30 </v>
      </c>
      <c r="B16" s="5" t="str">
        <f t="shared" si="1"/>
        <v>I</v>
      </c>
      <c r="C16" s="31">
        <f t="shared" si="2"/>
        <v>47060.300999999999</v>
      </c>
      <c r="D16" s="13" t="str">
        <f t="shared" si="3"/>
        <v>vis</v>
      </c>
      <c r="E16" s="39">
        <f>VLOOKUP(C16,Active!C$21:E$973,3,FALSE)</f>
        <v>4365.9906962207224</v>
      </c>
      <c r="F16" s="5" t="s">
        <v>52</v>
      </c>
      <c r="G16" s="13" t="str">
        <f t="shared" si="4"/>
        <v>47060.301</v>
      </c>
      <c r="H16" s="31">
        <f t="shared" si="5"/>
        <v>-4410</v>
      </c>
      <c r="I16" s="40" t="s">
        <v>60</v>
      </c>
      <c r="J16" s="41" t="s">
        <v>61</v>
      </c>
      <c r="K16" s="40">
        <v>-4410</v>
      </c>
      <c r="L16" s="40" t="s">
        <v>62</v>
      </c>
      <c r="M16" s="41" t="s">
        <v>63</v>
      </c>
      <c r="N16" s="41"/>
      <c r="O16" s="42" t="s">
        <v>64</v>
      </c>
      <c r="P16" s="42" t="s">
        <v>65</v>
      </c>
    </row>
    <row r="17" spans="1:16" ht="12.75" customHeight="1" thickBot="1">
      <c r="A17" s="31" t="str">
        <f t="shared" si="0"/>
        <v> BRNO 30 </v>
      </c>
      <c r="B17" s="5" t="str">
        <f t="shared" si="1"/>
        <v>I</v>
      </c>
      <c r="C17" s="31">
        <f t="shared" si="2"/>
        <v>47438.349000000002</v>
      </c>
      <c r="D17" s="13" t="str">
        <f t="shared" si="3"/>
        <v>vis</v>
      </c>
      <c r="E17" s="39">
        <f>VLOOKUP(C17,Active!C$21:E$973,3,FALSE)</f>
        <v>4576.9850062369369</v>
      </c>
      <c r="F17" s="5" t="s">
        <v>52</v>
      </c>
      <c r="G17" s="13" t="str">
        <f t="shared" si="4"/>
        <v>47438.349</v>
      </c>
      <c r="H17" s="31">
        <f t="shared" si="5"/>
        <v>-4199</v>
      </c>
      <c r="I17" s="40" t="s">
        <v>66</v>
      </c>
      <c r="J17" s="41" t="s">
        <v>67</v>
      </c>
      <c r="K17" s="40">
        <v>-4199</v>
      </c>
      <c r="L17" s="40" t="s">
        <v>68</v>
      </c>
      <c r="M17" s="41" t="s">
        <v>63</v>
      </c>
      <c r="N17" s="41"/>
      <c r="O17" s="42" t="s">
        <v>69</v>
      </c>
      <c r="P17" s="42" t="s">
        <v>65</v>
      </c>
    </row>
    <row r="18" spans="1:16" ht="12.75" customHeight="1" thickBot="1">
      <c r="A18" s="31" t="str">
        <f t="shared" si="0"/>
        <v> BRNO 30 </v>
      </c>
      <c r="B18" s="5" t="str">
        <f t="shared" si="1"/>
        <v>I</v>
      </c>
      <c r="C18" s="31">
        <f t="shared" si="2"/>
        <v>47438.355000000003</v>
      </c>
      <c r="D18" s="13" t="str">
        <f t="shared" si="3"/>
        <v>vis</v>
      </c>
      <c r="E18" s="39">
        <f>VLOOKUP(C18,Active!C$21:E$973,3,FALSE)</f>
        <v>4576.9883549277392</v>
      </c>
      <c r="F18" s="5" t="s">
        <v>52</v>
      </c>
      <c r="G18" s="13" t="str">
        <f t="shared" si="4"/>
        <v>47438.355</v>
      </c>
      <c r="H18" s="31">
        <f t="shared" si="5"/>
        <v>-4199</v>
      </c>
      <c r="I18" s="40" t="s">
        <v>70</v>
      </c>
      <c r="J18" s="41" t="s">
        <v>71</v>
      </c>
      <c r="K18" s="40">
        <v>-4199</v>
      </c>
      <c r="L18" s="40" t="s">
        <v>72</v>
      </c>
      <c r="M18" s="41" t="s">
        <v>63</v>
      </c>
      <c r="N18" s="41"/>
      <c r="O18" s="42" t="s">
        <v>64</v>
      </c>
      <c r="P18" s="42" t="s">
        <v>65</v>
      </c>
    </row>
    <row r="19" spans="1:16" ht="12.75" customHeight="1" thickBot="1">
      <c r="A19" s="31" t="str">
        <f t="shared" si="0"/>
        <v> BBS 115 </v>
      </c>
      <c r="B19" s="5" t="str">
        <f t="shared" si="1"/>
        <v>I</v>
      </c>
      <c r="C19" s="31">
        <f t="shared" si="2"/>
        <v>50638.399899999997</v>
      </c>
      <c r="D19" s="13" t="str">
        <f t="shared" si="3"/>
        <v>vis</v>
      </c>
      <c r="E19" s="39">
        <f>VLOOKUP(C19,Active!C$21:E$973,3,FALSE)</f>
        <v>6362.9818417241268</v>
      </c>
      <c r="F19" s="5" t="s">
        <v>52</v>
      </c>
      <c r="G19" s="13" t="str">
        <f t="shared" si="4"/>
        <v>50638.3999</v>
      </c>
      <c r="H19" s="31">
        <f t="shared" si="5"/>
        <v>-2413</v>
      </c>
      <c r="I19" s="40" t="s">
        <v>80</v>
      </c>
      <c r="J19" s="41" t="s">
        <v>81</v>
      </c>
      <c r="K19" s="40">
        <v>-2413</v>
      </c>
      <c r="L19" s="40" t="s">
        <v>82</v>
      </c>
      <c r="M19" s="41" t="s">
        <v>76</v>
      </c>
      <c r="N19" s="41" t="s">
        <v>77</v>
      </c>
      <c r="O19" s="42" t="s">
        <v>83</v>
      </c>
      <c r="P19" s="42" t="s">
        <v>84</v>
      </c>
    </row>
    <row r="20" spans="1:16" ht="12.75" customHeight="1" thickBot="1">
      <c r="A20" s="31" t="str">
        <f t="shared" si="0"/>
        <v>BAVM 193 </v>
      </c>
      <c r="B20" s="5" t="str">
        <f t="shared" si="1"/>
        <v>II</v>
      </c>
      <c r="C20" s="31">
        <f t="shared" si="2"/>
        <v>54389.409500000002</v>
      </c>
      <c r="D20" s="13" t="str">
        <f t="shared" si="3"/>
        <v>vis</v>
      </c>
      <c r="E20" s="39">
        <f>VLOOKUP(C20,Active!C$21:E$973,3,FALSE)</f>
        <v>8456.4770656538749</v>
      </c>
      <c r="F20" s="5" t="s">
        <v>52</v>
      </c>
      <c r="G20" s="13" t="str">
        <f t="shared" si="4"/>
        <v>54389.4095</v>
      </c>
      <c r="H20" s="31">
        <f t="shared" si="5"/>
        <v>-319.5</v>
      </c>
      <c r="I20" s="40" t="s">
        <v>95</v>
      </c>
      <c r="J20" s="41" t="s">
        <v>96</v>
      </c>
      <c r="K20" s="40">
        <v>-319.5</v>
      </c>
      <c r="L20" s="40" t="s">
        <v>97</v>
      </c>
      <c r="M20" s="41" t="s">
        <v>98</v>
      </c>
      <c r="N20" s="41" t="s">
        <v>99</v>
      </c>
      <c r="O20" s="42" t="s">
        <v>100</v>
      </c>
      <c r="P20" s="43" t="s">
        <v>101</v>
      </c>
    </row>
    <row r="21" spans="1:16" ht="12.75" customHeight="1" thickBot="1">
      <c r="A21" s="31" t="str">
        <f t="shared" si="0"/>
        <v>BAVM 203 </v>
      </c>
      <c r="B21" s="5" t="str">
        <f t="shared" si="1"/>
        <v>II</v>
      </c>
      <c r="C21" s="31">
        <f t="shared" si="2"/>
        <v>54663.542600000001</v>
      </c>
      <c r="D21" s="13" t="str">
        <f t="shared" si="3"/>
        <v>vis</v>
      </c>
      <c r="E21" s="39">
        <f>VLOOKUP(C21,Active!C$21:E$973,3,FALSE)</f>
        <v>8609.47489737658</v>
      </c>
      <c r="F21" s="5" t="s">
        <v>52</v>
      </c>
      <c r="G21" s="13" t="str">
        <f t="shared" si="4"/>
        <v>54663.5426</v>
      </c>
      <c r="H21" s="31">
        <f t="shared" si="5"/>
        <v>-166.5</v>
      </c>
      <c r="I21" s="40" t="s">
        <v>102</v>
      </c>
      <c r="J21" s="41" t="s">
        <v>103</v>
      </c>
      <c r="K21" s="40" t="s">
        <v>104</v>
      </c>
      <c r="L21" s="40" t="s">
        <v>105</v>
      </c>
      <c r="M21" s="41" t="s">
        <v>98</v>
      </c>
      <c r="N21" s="41" t="s">
        <v>99</v>
      </c>
      <c r="O21" s="42" t="s">
        <v>100</v>
      </c>
      <c r="P21" s="43" t="s">
        <v>106</v>
      </c>
    </row>
    <row r="22" spans="1:16">
      <c r="B22" s="5"/>
      <c r="F22" s="5"/>
    </row>
    <row r="23" spans="1:16">
      <c r="B23" s="5"/>
      <c r="F23" s="5"/>
    </row>
    <row r="24" spans="1:16">
      <c r="B24" s="5"/>
      <c r="F24" s="5"/>
    </row>
    <row r="25" spans="1:16">
      <c r="B25" s="5"/>
      <c r="F25" s="5"/>
    </row>
    <row r="26" spans="1:16">
      <c r="B26" s="5"/>
      <c r="F26" s="5"/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</sheetData>
  <phoneticPr fontId="8" type="noConversion"/>
  <hyperlinks>
    <hyperlink ref="A3" r:id="rId1"/>
    <hyperlink ref="P12" r:id="rId2" display="http://www.konkoly.hu/cgi-bin/IBVS?4887"/>
    <hyperlink ref="P13" r:id="rId3" display="http://www.konkoly.hu/cgi-bin/IBVS?4888"/>
    <hyperlink ref="P14" r:id="rId4" display="http://www.konkoly.hu/cgi-bin/IBVS?5287"/>
    <hyperlink ref="P20" r:id="rId5" display="http://www.bav-astro.de/sfs/BAVM_link.php?BAVMnr=193"/>
    <hyperlink ref="P21" r:id="rId6" display="http://www.bav-astro.de/sfs/BAVM_link.php?BAVMnr=203"/>
    <hyperlink ref="P15" r:id="rId7" display="http://www.bav-astro.de/sfs/BAVM_link.php?BAVMnr=2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2024-01-11T04:44:06Z</dcterms:modified>
</cp:coreProperties>
</file>