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326C776-9BA5-4BB8-B768-99F6440C81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L22" i="1" s="1"/>
  <c r="Q22" i="1"/>
  <c r="C22" i="1"/>
  <c r="A22" i="1"/>
  <c r="F14" i="1"/>
  <c r="E24" i="1"/>
  <c r="F24" i="1" s="1"/>
  <c r="G24" i="1" s="1"/>
  <c r="L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7" i="1"/>
  <c r="F27" i="1" s="1"/>
  <c r="G27" i="1" s="1"/>
  <c r="L27" i="1" s="1"/>
  <c r="Q27" i="1"/>
  <c r="E28" i="1"/>
  <c r="F28" i="1" s="1"/>
  <c r="G28" i="1" s="1"/>
  <c r="L28" i="1" s="1"/>
  <c r="Q28" i="1"/>
  <c r="E29" i="1"/>
  <c r="F29" i="1" s="1"/>
  <c r="G29" i="1" s="1"/>
  <c r="L29" i="1" s="1"/>
  <c r="Q29" i="1"/>
  <c r="E30" i="1"/>
  <c r="F30" i="1" s="1"/>
  <c r="G30" i="1" s="1"/>
  <c r="L30" i="1" s="1"/>
  <c r="Q30" i="1"/>
  <c r="E31" i="1"/>
  <c r="F31" i="1"/>
  <c r="G31" i="1" s="1"/>
  <c r="L31" i="1" s="1"/>
  <c r="Q31" i="1"/>
  <c r="E32" i="1"/>
  <c r="F32" i="1" s="1"/>
  <c r="G32" i="1" s="1"/>
  <c r="L32" i="1" s="1"/>
  <c r="Q32" i="1"/>
  <c r="E33" i="1"/>
  <c r="F33" i="1" s="1"/>
  <c r="G33" i="1" s="1"/>
  <c r="L33" i="1" s="1"/>
  <c r="Q33" i="1"/>
  <c r="E23" i="1"/>
  <c r="F23" i="1" s="1"/>
  <c r="G23" i="1" s="1"/>
  <c r="K23" i="1" s="1"/>
  <c r="Q23" i="1"/>
  <c r="E21" i="1"/>
  <c r="F21" i="1" s="1"/>
  <c r="G21" i="1" s="1"/>
  <c r="I21" i="1" s="1"/>
  <c r="Q21" i="1"/>
  <c r="C17" i="1"/>
  <c r="C11" i="1"/>
  <c r="C12" i="1"/>
  <c r="O22" i="1" l="1"/>
  <c r="F15" i="1"/>
  <c r="O26" i="1"/>
  <c r="O30" i="1"/>
  <c r="O33" i="1"/>
  <c r="O25" i="1"/>
  <c r="O29" i="1"/>
  <c r="O24" i="1"/>
  <c r="O28" i="1"/>
  <c r="O32" i="1"/>
  <c r="O27" i="1"/>
  <c r="O31" i="1"/>
  <c r="O23" i="1"/>
  <c r="C16" i="1"/>
  <c r="D18" i="1" s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<sst xmlns="http://schemas.openxmlformats.org/spreadsheetml/2006/main" count="81" uniqueCount="58">
  <si>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</si>
  <si>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</si>
  <si>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</si>
  <si>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</si>
  <si>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</si>
  <si>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</si>
  <si>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</si>
  <si>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</si>
  <si>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</si>
  <si>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</si>
  <si>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</si>
  <si>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</si>
  <si>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</si>
  <si>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</si>
  <si>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</si>
  <si>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</si>
  <si>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</si>
  <si>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</si>
  <si>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</si>
  <si>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</si>
  <si>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</si>
  <si>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</si>
  <si>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</si>
  <si>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</si>
  <si>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</si>
  <si>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</si>
  <si>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</si>
  <si>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</si>
  <si>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</si>
  <si>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</si>
  <si>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</si>
  <si>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</si>
  <si>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</si>
  <si>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</si>
  <si>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</si>
  <si>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</si>
  <si>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</si>
  <si>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</si>
  <si>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</si>
  <si>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</si>
  <si>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</si>
  <si>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V1450 Aql</t>
  </si>
  <si>
    <t>G1042-2041</t>
  </si>
  <si>
    <t>EB:</t>
  </si>
  <si>
    <t>F21</t>
  </si>
  <si>
    <t>G21</t>
  </si>
  <si>
    <t>JBAV, 63</t>
  </si>
  <si>
    <t>II</t>
  </si>
  <si>
    <t>JBAV, 79</t>
  </si>
  <si>
    <t>I</t>
  </si>
  <si>
    <t>TESS</t>
  </si>
  <si>
    <t>Next ToM-P</t>
  </si>
  <si>
    <t>Next ToM-S</t>
  </si>
  <si>
    <t xml:space="preserve">Mag </t>
  </si>
  <si>
    <t>8.88-9.20</t>
  </si>
  <si>
    <t>VSX</t>
  </si>
  <si>
    <t>Old data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</si>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</sst>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$&quot;#,##0_);\(&quot;$&quot;#,##0\)"/>
    <numFmt numFmtId="165" formatCode="0.0000"/>
    <numFmt numFmtId="166" formatCode="dd/mm/yyyy"/>
    <numFmt numFmtId="167" formatCode="0.00000"/>
    <numFmt numFmtId="168" formatCode="0.000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9" fillId="0" borderId="0" applyFon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>
      <alignment horizontal="center" vertical="center" wrapText="1"/>
    </xf>
    <xf numFmtId="43" fontId="18" fillId="0" borderId="0" xfId="8" applyFont="1" applyBorder="1"/>
    <xf numFmtId="0" fontId="0" fillId="0" borderId="0" xfId="0" applyAlignment="1">
      <alignment horizontal="right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8" fontId="18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/>
    <xf numFmtId="0" fontId="6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18" fillId="0" borderId="0" xfId="0" applyFont="1" applyAlignment="1">
      <alignment vertical="center" wrapText="1"/>
    </xf>
    <xf numFmtId="0" fontId="18" fillId="0" borderId="0" xfId="8" applyNumberFormat="1" applyFont="1" applyBorder="1"/>
    <xf numFmtId="0" fontId="6" fillId="5" borderId="9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right"/>
    </xf>
    <xf numFmtId="0" fontId="21" fillId="0" borderId="12" xfId="0" applyFont="1" applyBorder="1" applyAlignment="1"/>
    <xf numFmtId="0" fontId="20" fillId="0" borderId="11" xfId="0" applyFont="1" applyBorder="1" applyAlignment="1">
      <alignment horizontal="right" vertical="top"/>
    </xf>
    <xf numFmtId="0" fontId="22" fillId="0" borderId="12" xfId="0" applyFont="1" applyBorder="1" applyAlignment="1">
      <alignment horizontal="right" vertical="top"/>
    </xf>
    <xf numFmtId="22" fontId="22" fillId="0" borderId="12" xfId="0" applyNumberFormat="1" applyFont="1" applyBorder="1" applyAlignment="1">
      <alignment horizontal="right"/>
    </xf>
    <xf numFmtId="22" fontId="22" fillId="0" borderId="13" xfId="0" applyNumberFormat="1" applyFont="1" applyBorder="1" applyAlignment="1">
      <alignment horizontal="right" vertical="top"/>
    </xf>
    <xf numFmtId="0" fontId="20" fillId="0" borderId="14" xfId="0" applyFont="1" applyBorder="1" applyAlignment="1">
      <alignment horizontal="right" vertical="top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V1450</a:t>
            </a:r>
            <a:r>
              <a:rPr lang="en-AU" baseline="0"/>
              <a:t> Aql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">
                    <c:v>0.01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">
                    <c:v>0.01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</c:v>
                </c:pt>
                <c:pt idx="1">
                  <c:v>0</c:v>
                </c:pt>
                <c:pt idx="2">
                  <c:v>1160</c:v>
                </c:pt>
                <c:pt idx="3">
                  <c:v>1234</c:v>
                </c:pt>
                <c:pt idx="4">
                  <c:v>1234.5</c:v>
                </c:pt>
                <c:pt idx="5">
                  <c:v>1235</c:v>
                </c:pt>
                <c:pt idx="6">
                  <c:v>1235.5</c:v>
                </c:pt>
                <c:pt idx="7">
                  <c:v>1236</c:v>
                </c:pt>
                <c:pt idx="8">
                  <c:v>1237</c:v>
                </c:pt>
                <c:pt idx="9">
                  <c:v>1237.5</c:v>
                </c:pt>
                <c:pt idx="10">
                  <c:v>1238</c:v>
                </c:pt>
                <c:pt idx="11">
                  <c:v>1238.5</c:v>
                </c:pt>
                <c:pt idx="12">
                  <c:v>1239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0.01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0.01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</c:v>
                </c:pt>
                <c:pt idx="1">
                  <c:v>0</c:v>
                </c:pt>
                <c:pt idx="2">
                  <c:v>1160</c:v>
                </c:pt>
                <c:pt idx="3">
                  <c:v>1234</c:v>
                </c:pt>
                <c:pt idx="4">
                  <c:v>1234.5</c:v>
                </c:pt>
                <c:pt idx="5">
                  <c:v>1235</c:v>
                </c:pt>
                <c:pt idx="6">
                  <c:v>1235.5</c:v>
                </c:pt>
                <c:pt idx="7">
                  <c:v>1236</c:v>
                </c:pt>
                <c:pt idx="8">
                  <c:v>1237</c:v>
                </c:pt>
                <c:pt idx="9">
                  <c:v>1237.5</c:v>
                </c:pt>
                <c:pt idx="10">
                  <c:v>1238</c:v>
                </c:pt>
                <c:pt idx="11">
                  <c:v>1238.5</c:v>
                </c:pt>
                <c:pt idx="12">
                  <c:v>1239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-1.4573100001143757E-2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0.01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0.01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</c:v>
                </c:pt>
                <c:pt idx="1">
                  <c:v>0</c:v>
                </c:pt>
                <c:pt idx="2">
                  <c:v>1160</c:v>
                </c:pt>
                <c:pt idx="3">
                  <c:v>1234</c:v>
                </c:pt>
                <c:pt idx="4">
                  <c:v>1234.5</c:v>
                </c:pt>
                <c:pt idx="5">
                  <c:v>1235</c:v>
                </c:pt>
                <c:pt idx="6">
                  <c:v>1235.5</c:v>
                </c:pt>
                <c:pt idx="7">
                  <c:v>1236</c:v>
                </c:pt>
                <c:pt idx="8">
                  <c:v>1237</c:v>
                </c:pt>
                <c:pt idx="9">
                  <c:v>1237.5</c:v>
                </c:pt>
                <c:pt idx="10">
                  <c:v>1238</c:v>
                </c:pt>
                <c:pt idx="11">
                  <c:v>1238.5</c:v>
                </c:pt>
                <c:pt idx="12">
                  <c:v>1239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0.01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0.01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</c:v>
                </c:pt>
                <c:pt idx="1">
                  <c:v>0</c:v>
                </c:pt>
                <c:pt idx="2">
                  <c:v>1160</c:v>
                </c:pt>
                <c:pt idx="3">
                  <c:v>1234</c:v>
                </c:pt>
                <c:pt idx="4">
                  <c:v>1234.5</c:v>
                </c:pt>
                <c:pt idx="5">
                  <c:v>1235</c:v>
                </c:pt>
                <c:pt idx="6">
                  <c:v>1235.5</c:v>
                </c:pt>
                <c:pt idx="7">
                  <c:v>1236</c:v>
                </c:pt>
                <c:pt idx="8">
                  <c:v>1237</c:v>
                </c:pt>
                <c:pt idx="9">
                  <c:v>1237.5</c:v>
                </c:pt>
                <c:pt idx="10">
                  <c:v>1238</c:v>
                </c:pt>
                <c:pt idx="11">
                  <c:v>1238.5</c:v>
                </c:pt>
                <c:pt idx="12">
                  <c:v>1239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-7.8251999999338295E-2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0.01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0.01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</c:v>
                </c:pt>
                <c:pt idx="1">
                  <c:v>0</c:v>
                </c:pt>
                <c:pt idx="2">
                  <c:v>1160</c:v>
                </c:pt>
                <c:pt idx="3">
                  <c:v>1234</c:v>
                </c:pt>
                <c:pt idx="4">
                  <c:v>1234.5</c:v>
                </c:pt>
                <c:pt idx="5">
                  <c:v>1235</c:v>
                </c:pt>
                <c:pt idx="6">
                  <c:v>1235.5</c:v>
                </c:pt>
                <c:pt idx="7">
                  <c:v>1236</c:v>
                </c:pt>
                <c:pt idx="8">
                  <c:v>1237</c:v>
                </c:pt>
                <c:pt idx="9">
                  <c:v>1237.5</c:v>
                </c:pt>
                <c:pt idx="10">
                  <c:v>1238</c:v>
                </c:pt>
                <c:pt idx="11">
                  <c:v>1238.5</c:v>
                </c:pt>
                <c:pt idx="12">
                  <c:v>1239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0</c:v>
                </c:pt>
                <c:pt idx="3">
                  <c:v>-7.2119799951906316E-2</c:v>
                </c:pt>
                <c:pt idx="4">
                  <c:v>-6.8362149970198516E-2</c:v>
                </c:pt>
                <c:pt idx="5">
                  <c:v>-7.0404499914729968E-2</c:v>
                </c:pt>
                <c:pt idx="6">
                  <c:v>-7.5346850062487647E-2</c:v>
                </c:pt>
                <c:pt idx="7">
                  <c:v>-6.9589200218615588E-2</c:v>
                </c:pt>
                <c:pt idx="8">
                  <c:v>-7.5473899851203896E-2</c:v>
                </c:pt>
                <c:pt idx="9">
                  <c:v>-7.2616250203282107E-2</c:v>
                </c:pt>
                <c:pt idx="10">
                  <c:v>-6.9558599963784218E-2</c:v>
                </c:pt>
                <c:pt idx="11">
                  <c:v>-6.8600949889514595E-2</c:v>
                </c:pt>
                <c:pt idx="12">
                  <c:v>-7.3243300073954742E-2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0.01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0.01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</c:v>
                </c:pt>
                <c:pt idx="1">
                  <c:v>0</c:v>
                </c:pt>
                <c:pt idx="2">
                  <c:v>1160</c:v>
                </c:pt>
                <c:pt idx="3">
                  <c:v>1234</c:v>
                </c:pt>
                <c:pt idx="4">
                  <c:v>1234.5</c:v>
                </c:pt>
                <c:pt idx="5">
                  <c:v>1235</c:v>
                </c:pt>
                <c:pt idx="6">
                  <c:v>1235.5</c:v>
                </c:pt>
                <c:pt idx="7">
                  <c:v>1236</c:v>
                </c:pt>
                <c:pt idx="8">
                  <c:v>1237</c:v>
                </c:pt>
                <c:pt idx="9">
                  <c:v>1237.5</c:v>
                </c:pt>
                <c:pt idx="10">
                  <c:v>1238</c:v>
                </c:pt>
                <c:pt idx="11">
                  <c:v>1238.5</c:v>
                </c:pt>
                <c:pt idx="12">
                  <c:v>1239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0.01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0.01</c:v>
                  </c:pt>
                  <c:pt idx="3">
                    <c:v>5.9999999999999995E-4</c:v>
                  </c:pt>
                  <c:pt idx="4">
                    <c:v>6.9999999999999999E-4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</c:v>
                </c:pt>
                <c:pt idx="1">
                  <c:v>0</c:v>
                </c:pt>
                <c:pt idx="2">
                  <c:v>1160</c:v>
                </c:pt>
                <c:pt idx="3">
                  <c:v>1234</c:v>
                </c:pt>
                <c:pt idx="4">
                  <c:v>1234.5</c:v>
                </c:pt>
                <c:pt idx="5">
                  <c:v>1235</c:v>
                </c:pt>
                <c:pt idx="6">
                  <c:v>1235.5</c:v>
                </c:pt>
                <c:pt idx="7">
                  <c:v>1236</c:v>
                </c:pt>
                <c:pt idx="8">
                  <c:v>1237</c:v>
                </c:pt>
                <c:pt idx="9">
                  <c:v>1237.5</c:v>
                </c:pt>
                <c:pt idx="10">
                  <c:v>1238</c:v>
                </c:pt>
                <c:pt idx="11">
                  <c:v>1238.5</c:v>
                </c:pt>
                <c:pt idx="12">
                  <c:v>1239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-227</c:v>
                </c:pt>
                <c:pt idx="1">
                  <c:v>0</c:v>
                </c:pt>
                <c:pt idx="2">
                  <c:v>1160</c:v>
                </c:pt>
                <c:pt idx="3">
                  <c:v>1234</c:v>
                </c:pt>
                <c:pt idx="4">
                  <c:v>1234.5</c:v>
                </c:pt>
                <c:pt idx="5">
                  <c:v>1235</c:v>
                </c:pt>
                <c:pt idx="6">
                  <c:v>1235.5</c:v>
                </c:pt>
                <c:pt idx="7">
                  <c:v>1236</c:v>
                </c:pt>
                <c:pt idx="8">
                  <c:v>1237</c:v>
                </c:pt>
                <c:pt idx="9">
                  <c:v>1237.5</c:v>
                </c:pt>
                <c:pt idx="10">
                  <c:v>1238</c:v>
                </c:pt>
                <c:pt idx="11">
                  <c:v>1238.5</c:v>
                </c:pt>
                <c:pt idx="12">
                  <c:v>1239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-3.2735912210197435E-3</c:v>
                </c:pt>
                <c:pt idx="1">
                  <c:v>-1.3968867762930444E-2</c:v>
                </c:pt>
                <c:pt idx="2">
                  <c:v>-6.8623144364764854E-2</c:v>
                </c:pt>
                <c:pt idx="3">
                  <c:v>-7.2109710285916367E-2</c:v>
                </c:pt>
                <c:pt idx="4">
                  <c:v>-7.213326816376199E-2</c:v>
                </c:pt>
                <c:pt idx="5">
                  <c:v>-7.2156826041607613E-2</c:v>
                </c:pt>
                <c:pt idx="6">
                  <c:v>-7.2180383919453223E-2</c:v>
                </c:pt>
                <c:pt idx="7">
                  <c:v>-7.2203941797298846E-2</c:v>
                </c:pt>
                <c:pt idx="8">
                  <c:v>-7.2251057552990078E-2</c:v>
                </c:pt>
                <c:pt idx="9">
                  <c:v>-7.2274615430835701E-2</c:v>
                </c:pt>
                <c:pt idx="10">
                  <c:v>-7.2298173308681324E-2</c:v>
                </c:pt>
                <c:pt idx="11">
                  <c:v>-7.2321731186526933E-2</c:v>
                </c:pt>
                <c:pt idx="12">
                  <c:v>-7.2345289064372542E-2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-227</c:v>
                </c:pt>
                <c:pt idx="1">
                  <c:v>0</c:v>
                </c:pt>
                <c:pt idx="2">
                  <c:v>1160</c:v>
                </c:pt>
                <c:pt idx="3">
                  <c:v>1234</c:v>
                </c:pt>
                <c:pt idx="4">
                  <c:v>1234.5</c:v>
                </c:pt>
                <c:pt idx="5">
                  <c:v>1235</c:v>
                </c:pt>
                <c:pt idx="6">
                  <c:v>1235.5</c:v>
                </c:pt>
                <c:pt idx="7">
                  <c:v>1236</c:v>
                </c:pt>
                <c:pt idx="8">
                  <c:v>1237</c:v>
                </c:pt>
                <c:pt idx="9">
                  <c:v>1237.5</c:v>
                </c:pt>
                <c:pt idx="10">
                  <c:v>1238</c:v>
                </c:pt>
                <c:pt idx="11">
                  <c:v>1238.5</c:v>
                </c:pt>
                <c:pt idx="12">
                  <c:v>1239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5" customWidth="1"/>
    <col min="4" max="4" width="9.42578125" customWidth="1"/>
    <col min="5" max="5" width="12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41</v>
      </c>
      <c r="F1" s="30" t="s">
        <v>41</v>
      </c>
      <c r="G1" s="31">
        <v>2013</v>
      </c>
      <c r="H1" s="32"/>
      <c r="I1" s="33" t="s">
        <v>42</v>
      </c>
      <c r="J1" s="34" t="s">
        <v>41</v>
      </c>
      <c r="K1" s="35">
        <v>19.174099999999999</v>
      </c>
      <c r="L1" s="36">
        <v>8.3651</v>
      </c>
      <c r="M1" s="37">
        <v>52740.317000000003</v>
      </c>
      <c r="N1" s="37">
        <v>4.8126105099999998</v>
      </c>
      <c r="O1" s="38" t="s">
        <v>43</v>
      </c>
    </row>
    <row r="2" spans="1:15" ht="12.95" customHeight="1" x14ac:dyDescent="0.2">
      <c r="A2" t="s">
        <v>23</v>
      </c>
      <c r="B2" t="s">
        <v>43</v>
      </c>
      <c r="C2" s="27"/>
    </row>
    <row r="3" spans="1:15" ht="12.95" customHeight="1" thickBot="1" x14ac:dyDescent="0.25"/>
    <row r="4" spans="1:15" ht="12.95" customHeight="1" thickTop="1" thickBot="1" x14ac:dyDescent="0.25">
      <c r="A4" s="4" t="s">
        <v>0</v>
      </c>
      <c r="C4" s="24" t="s">
        <v>35</v>
      </c>
      <c r="D4" s="25" t="s">
        <v>35</v>
      </c>
    </row>
    <row r="5" spans="1:15" ht="12.95" customHeight="1" thickTop="1" x14ac:dyDescent="0.2">
      <c r="A5" s="8" t="s">
        <v>27</v>
      </c>
      <c r="B5" s="9"/>
      <c r="C5" s="10">
        <v>-9.5</v>
      </c>
      <c r="D5" s="9" t="s">
        <v>28</v>
      </c>
      <c r="E5" s="9"/>
    </row>
    <row r="6" spans="1:15" ht="12.95" customHeight="1" x14ac:dyDescent="0.2">
      <c r="A6" s="4" t="s">
        <v>1</v>
      </c>
      <c r="E6" s="46" t="s">
        <v>56</v>
      </c>
    </row>
    <row r="7" spans="1:15" ht="12.95" customHeight="1" x14ac:dyDescent="0.2">
      <c r="A7" t="s">
        <v>2</v>
      </c>
      <c r="C7" s="41">
        <v>53832.811000000002</v>
      </c>
      <c r="D7" s="26" t="s">
        <v>55</v>
      </c>
      <c r="E7" s="47">
        <v>52740.317000000003</v>
      </c>
    </row>
    <row r="8" spans="1:15" ht="12.95" customHeight="1" x14ac:dyDescent="0.2">
      <c r="A8" t="s">
        <v>3</v>
      </c>
      <c r="C8" s="41">
        <v>4.8126847000000001</v>
      </c>
      <c r="D8" s="26" t="s">
        <v>55</v>
      </c>
      <c r="E8" s="48">
        <v>4.8126105099999998</v>
      </c>
    </row>
    <row r="9" spans="1:15" ht="12.95" customHeight="1" x14ac:dyDescent="0.2">
      <c r="A9" s="21" t="s">
        <v>30</v>
      </c>
      <c r="B9" s="22">
        <v>21</v>
      </c>
      <c r="C9" s="19" t="s">
        <v>44</v>
      </c>
      <c r="D9" s="20" t="s">
        <v>45</v>
      </c>
    </row>
    <row r="10" spans="1:15" ht="12.95" customHeight="1" thickBot="1" x14ac:dyDescent="0.25">
      <c r="A10" s="9"/>
      <c r="B10" s="9"/>
      <c r="C10" s="3" t="s">
        <v>19</v>
      </c>
      <c r="D10" s="3" t="s">
        <v>20</v>
      </c>
      <c r="E10" s="9"/>
    </row>
    <row r="11" spans="1:15" ht="12.95" customHeight="1" x14ac:dyDescent="0.2">
      <c r="A11" s="9" t="s">
        <v>15</v>
      </c>
      <c r="B11" s="9"/>
      <c r="C11" s="18">
        <f ca="1">INTERCEPT(INDIRECT($D$9):G992,INDIRECT($C$9):F992)</f>
        <v>-1.3968867762930444E-2</v>
      </c>
      <c r="D11" s="2"/>
      <c r="E11" s="9"/>
    </row>
    <row r="12" spans="1:15" ht="12.95" customHeight="1" x14ac:dyDescent="0.2">
      <c r="A12" s="9" t="s">
        <v>16</v>
      </c>
      <c r="B12" s="9"/>
      <c r="C12" s="18">
        <f ca="1">SLOPE(INDIRECT($D$9):G992,INDIRECT($C$9):F992)</f>
        <v>-4.7115755691236569E-5</v>
      </c>
      <c r="D12" s="2"/>
      <c r="E12" s="51" t="s">
        <v>53</v>
      </c>
      <c r="F12" s="52" t="s">
        <v>54</v>
      </c>
    </row>
    <row r="13" spans="1:15" ht="12.95" customHeight="1" x14ac:dyDescent="0.2">
      <c r="A13" s="9" t="s">
        <v>18</v>
      </c>
      <c r="B13" s="9"/>
      <c r="C13" s="2" t="s">
        <v>13</v>
      </c>
      <c r="E13" s="53" t="s">
        <v>32</v>
      </c>
      <c r="F13" s="54">
        <v>1</v>
      </c>
    </row>
    <row r="14" spans="1:15" ht="12.95" customHeight="1" x14ac:dyDescent="0.2">
      <c r="A14" s="9"/>
      <c r="B14" s="9"/>
      <c r="C14" s="9"/>
      <c r="E14" s="55" t="s">
        <v>29</v>
      </c>
      <c r="F14" s="56">
        <f ca="1">NOW()+15018.5+$C$5/24</f>
        <v>60518.772919907402</v>
      </c>
    </row>
    <row r="15" spans="1:15" ht="12.95" customHeight="1" x14ac:dyDescent="0.2">
      <c r="A15" s="11" t="s">
        <v>17</v>
      </c>
      <c r="B15" s="9"/>
      <c r="C15" s="12">
        <f ca="1">(C7+C11)+(C8+C12)*INT(MAX(F21:F3533))</f>
        <v>59795.654998010934</v>
      </c>
      <c r="E15" s="55" t="s">
        <v>33</v>
      </c>
      <c r="F15" s="56">
        <f ca="1">ROUND(2*(F14-$C$7)/$C$8,0)/2+F13</f>
        <v>1390</v>
      </c>
    </row>
    <row r="16" spans="1:15" ht="12.95" customHeight="1" x14ac:dyDescent="0.2">
      <c r="A16" s="14" t="s">
        <v>4</v>
      </c>
      <c r="B16" s="9"/>
      <c r="C16" s="15">
        <f ca="1">+C8+C12</f>
        <v>4.8126375842443085</v>
      </c>
      <c r="E16" s="55" t="s">
        <v>34</v>
      </c>
      <c r="F16" s="56">
        <f ca="1">ROUND(2*(F14-$C$15)/$C$16,0)/2+F13</f>
        <v>151.5</v>
      </c>
    </row>
    <row r="17" spans="1:21" ht="12.95" customHeight="1" thickBot="1" x14ac:dyDescent="0.25">
      <c r="A17" s="13" t="s">
        <v>26</v>
      </c>
      <c r="B17" s="9"/>
      <c r="C17" s="9">
        <f>COUNT(C21:C2191)</f>
        <v>13</v>
      </c>
      <c r="E17" s="55" t="s">
        <v>51</v>
      </c>
      <c r="F17" s="57">
        <f ca="1">+$C$15+$C$16*$F$16-15018.5-$C$5/24</f>
        <v>45506.665425357285</v>
      </c>
    </row>
    <row r="18" spans="1:21" ht="12.95" customHeight="1" thickTop="1" thickBot="1" x14ac:dyDescent="0.25">
      <c r="A18" s="14" t="s">
        <v>5</v>
      </c>
      <c r="B18" s="9"/>
      <c r="C18" s="16">
        <f ca="1">+C15</f>
        <v>59795.654998010934</v>
      </c>
      <c r="D18" s="17">
        <f ca="1">+C16</f>
        <v>4.8126375842443085</v>
      </c>
      <c r="E18" s="59" t="s">
        <v>52</v>
      </c>
      <c r="F18" s="58">
        <f ca="1">+($C$15+$C$16*$F$16)-($C$16/2)-15018.5-$C$5/24</f>
        <v>45504.259106565165</v>
      </c>
    </row>
    <row r="19" spans="1:21" ht="12.95" customHeight="1" thickTop="1" x14ac:dyDescent="0.2">
      <c r="F19" s="28" t="s">
        <v>40</v>
      </c>
    </row>
    <row r="20" spans="1:21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36</v>
      </c>
      <c r="I20" s="6" t="s">
        <v>37</v>
      </c>
      <c r="J20" s="6" t="s">
        <v>38</v>
      </c>
      <c r="K20" s="6" t="s">
        <v>39</v>
      </c>
      <c r="L20" s="6" t="s">
        <v>50</v>
      </c>
      <c r="M20" s="6" t="s">
        <v>24</v>
      </c>
      <c r="N20" s="6" t="s">
        <v>25</v>
      </c>
      <c r="O20" s="6" t="s">
        <v>22</v>
      </c>
      <c r="P20" s="5" t="s">
        <v>21</v>
      </c>
      <c r="Q20" s="3" t="s">
        <v>14</v>
      </c>
      <c r="U20" s="23" t="s">
        <v>31</v>
      </c>
    </row>
    <row r="21" spans="1:21" ht="12.95" customHeight="1" x14ac:dyDescent="0.2">
      <c r="A21" s="45" t="s">
        <v>57</v>
      </c>
      <c r="C21" s="7">
        <v>52740.317000000003</v>
      </c>
      <c r="D21" s="7"/>
      <c r="E21">
        <f t="shared" ref="E21:E33" si="0">+(C21-C$7)/C$8</f>
        <v>-227.00302806040852</v>
      </c>
      <c r="F21">
        <f t="shared" ref="F21:F33" si="1">ROUND(2*E21,0)/2</f>
        <v>-227</v>
      </c>
      <c r="G21">
        <f t="shared" ref="G21:G33" si="2">+C21-(C$7+F21*C$8)</f>
        <v>-1.4573100001143757E-2</v>
      </c>
      <c r="I21">
        <f>+G21</f>
        <v>-1.4573100001143757E-2</v>
      </c>
      <c r="O21">
        <f t="shared" ref="O21:O33" ca="1" si="3">+C$11+C$12*$F21</f>
        <v>-3.2735912210197435E-3</v>
      </c>
      <c r="Q21" s="29">
        <f t="shared" ref="Q21:Q33" si="4">+C21-15018.5</f>
        <v>37721.817000000003</v>
      </c>
    </row>
    <row r="22" spans="1:21" ht="12.95" customHeight="1" x14ac:dyDescent="0.2">
      <c r="A22" t="str">
        <f>$D$7</f>
        <v>VSX</v>
      </c>
      <c r="C22" s="7">
        <f>$C$7</f>
        <v>53832.811000000002</v>
      </c>
      <c r="D22" s="7"/>
      <c r="E22">
        <f t="shared" si="0"/>
        <v>0</v>
      </c>
      <c r="F22">
        <f t="shared" si="1"/>
        <v>0</v>
      </c>
      <c r="G22">
        <f t="shared" si="2"/>
        <v>0</v>
      </c>
      <c r="L22">
        <f>+G22</f>
        <v>0</v>
      </c>
      <c r="O22">
        <f t="shared" ca="1" si="3"/>
        <v>-1.3968867762930444E-2</v>
      </c>
      <c r="Q22" s="29">
        <f t="shared" si="4"/>
        <v>38814.311000000002</v>
      </c>
    </row>
    <row r="23" spans="1:21" ht="12.95" customHeight="1" x14ac:dyDescent="0.2">
      <c r="A23" s="49" t="s">
        <v>46</v>
      </c>
      <c r="B23" s="39" t="s">
        <v>47</v>
      </c>
      <c r="C23" s="42">
        <v>59415.447</v>
      </c>
      <c r="D23" s="43">
        <v>0.01</v>
      </c>
      <c r="E23">
        <f t="shared" si="0"/>
        <v>1159.9837404681837</v>
      </c>
      <c r="F23">
        <f t="shared" si="1"/>
        <v>1160</v>
      </c>
      <c r="G23">
        <f t="shared" si="2"/>
        <v>-7.8251999999338295E-2</v>
      </c>
      <c r="K23">
        <f>+G23</f>
        <v>-7.8251999999338295E-2</v>
      </c>
      <c r="O23">
        <f t="shared" ca="1" si="3"/>
        <v>-6.8623144364764854E-2</v>
      </c>
      <c r="Q23" s="29">
        <f t="shared" si="4"/>
        <v>44396.947</v>
      </c>
    </row>
    <row r="24" spans="1:21" ht="12.95" customHeight="1" x14ac:dyDescent="0.2">
      <c r="A24" s="50" t="s">
        <v>48</v>
      </c>
      <c r="B24" s="40" t="s">
        <v>49</v>
      </c>
      <c r="C24" s="44">
        <v>59771.591800000053</v>
      </c>
      <c r="D24" s="43">
        <v>5.9999999999999995E-4</v>
      </c>
      <c r="E24">
        <f t="shared" si="0"/>
        <v>1233.9850146426695</v>
      </c>
      <c r="F24">
        <f t="shared" si="1"/>
        <v>1234</v>
      </c>
      <c r="G24">
        <f t="shared" si="2"/>
        <v>-7.2119799951906316E-2</v>
      </c>
      <c r="L24">
        <f t="shared" ref="L24:L33" si="5">+G24</f>
        <v>-7.2119799951906316E-2</v>
      </c>
      <c r="O24">
        <f t="shared" ca="1" si="3"/>
        <v>-7.2109710285916367E-2</v>
      </c>
      <c r="Q24" s="29">
        <f t="shared" si="4"/>
        <v>44753.091800000053</v>
      </c>
    </row>
    <row r="25" spans="1:21" ht="12.95" customHeight="1" x14ac:dyDescent="0.2">
      <c r="A25" s="50" t="s">
        <v>48</v>
      </c>
      <c r="B25" s="40" t="s">
        <v>47</v>
      </c>
      <c r="C25" s="44">
        <v>59774.001900000032</v>
      </c>
      <c r="D25" s="43">
        <v>6.9999999999999999E-4</v>
      </c>
      <c r="E25">
        <f t="shared" si="0"/>
        <v>1234.485795423089</v>
      </c>
      <c r="F25">
        <f t="shared" si="1"/>
        <v>1234.5</v>
      </c>
      <c r="G25">
        <f t="shared" si="2"/>
        <v>-6.8362149970198516E-2</v>
      </c>
      <c r="L25">
        <f t="shared" si="5"/>
        <v>-6.8362149970198516E-2</v>
      </c>
      <c r="O25">
        <f t="shared" ca="1" si="3"/>
        <v>-7.213326816376199E-2</v>
      </c>
      <c r="Q25" s="29">
        <f t="shared" si="4"/>
        <v>44755.501900000032</v>
      </c>
    </row>
    <row r="26" spans="1:21" ht="12.95" customHeight="1" x14ac:dyDescent="0.2">
      <c r="A26" s="50" t="s">
        <v>48</v>
      </c>
      <c r="B26" s="40" t="s">
        <v>49</v>
      </c>
      <c r="C26" s="44">
        <v>59776.406200000085</v>
      </c>
      <c r="D26" s="43">
        <v>5.9999999999999995E-4</v>
      </c>
      <c r="E26">
        <f t="shared" si="0"/>
        <v>1234.9853710549712</v>
      </c>
      <c r="F26">
        <f t="shared" si="1"/>
        <v>1235</v>
      </c>
      <c r="G26">
        <f t="shared" si="2"/>
        <v>-7.0404499914729968E-2</v>
      </c>
      <c r="L26">
        <f t="shared" si="5"/>
        <v>-7.0404499914729968E-2</v>
      </c>
      <c r="O26">
        <f t="shared" ca="1" si="3"/>
        <v>-7.2156826041607613E-2</v>
      </c>
      <c r="Q26" s="29">
        <f t="shared" si="4"/>
        <v>44757.906200000085</v>
      </c>
    </row>
    <row r="27" spans="1:21" ht="12.95" customHeight="1" x14ac:dyDescent="0.2">
      <c r="A27" s="50" t="s">
        <v>48</v>
      </c>
      <c r="B27" s="40" t="s">
        <v>47</v>
      </c>
      <c r="C27" s="44">
        <v>59778.807599999942</v>
      </c>
      <c r="D27" s="43">
        <v>6.9999999999999999E-4</v>
      </c>
      <c r="E27">
        <f t="shared" si="0"/>
        <v>1235.4843441125367</v>
      </c>
      <c r="F27">
        <f t="shared" si="1"/>
        <v>1235.5</v>
      </c>
      <c r="G27">
        <f t="shared" si="2"/>
        <v>-7.5346850062487647E-2</v>
      </c>
      <c r="L27">
        <f t="shared" si="5"/>
        <v>-7.5346850062487647E-2</v>
      </c>
      <c r="O27">
        <f t="shared" ca="1" si="3"/>
        <v>-7.2180383919453223E-2</v>
      </c>
      <c r="Q27" s="29">
        <f t="shared" si="4"/>
        <v>44760.307599999942</v>
      </c>
    </row>
    <row r="28" spans="1:21" ht="12.95" customHeight="1" x14ac:dyDescent="0.2">
      <c r="A28" s="50" t="s">
        <v>48</v>
      </c>
      <c r="B28" s="40" t="s">
        <v>49</v>
      </c>
      <c r="C28" s="44">
        <v>59781.219699999783</v>
      </c>
      <c r="D28" s="43">
        <v>5.9999999999999995E-4</v>
      </c>
      <c r="E28">
        <f t="shared" si="0"/>
        <v>1235.9855404613938</v>
      </c>
      <c r="F28">
        <f t="shared" si="1"/>
        <v>1236</v>
      </c>
      <c r="G28">
        <f t="shared" si="2"/>
        <v>-6.9589200218615588E-2</v>
      </c>
      <c r="L28">
        <f t="shared" si="5"/>
        <v>-6.9589200218615588E-2</v>
      </c>
      <c r="O28">
        <f t="shared" ca="1" si="3"/>
        <v>-7.2203941797298846E-2</v>
      </c>
      <c r="Q28" s="29">
        <f t="shared" si="4"/>
        <v>44762.719699999783</v>
      </c>
    </row>
    <row r="29" spans="1:21" ht="12.95" customHeight="1" x14ac:dyDescent="0.2">
      <c r="A29" s="50" t="s">
        <v>48</v>
      </c>
      <c r="B29" s="40" t="s">
        <v>49</v>
      </c>
      <c r="C29" s="44">
        <v>59786.026500000153</v>
      </c>
      <c r="D29" s="43">
        <v>5.9999999999999995E-4</v>
      </c>
      <c r="E29">
        <f t="shared" si="0"/>
        <v>1236.9843177135936</v>
      </c>
      <c r="F29">
        <f t="shared" si="1"/>
        <v>1237</v>
      </c>
      <c r="G29">
        <f t="shared" si="2"/>
        <v>-7.5473899851203896E-2</v>
      </c>
      <c r="L29">
        <f t="shared" si="5"/>
        <v>-7.5473899851203896E-2</v>
      </c>
      <c r="O29">
        <f t="shared" ca="1" si="3"/>
        <v>-7.2251057552990078E-2</v>
      </c>
      <c r="Q29" s="29">
        <f t="shared" si="4"/>
        <v>44767.526500000153</v>
      </c>
    </row>
    <row r="30" spans="1:21" ht="12.95" customHeight="1" x14ac:dyDescent="0.2">
      <c r="A30" s="50" t="s">
        <v>48</v>
      </c>
      <c r="B30" s="40" t="s">
        <v>47</v>
      </c>
      <c r="C30" s="44">
        <v>59788.435699999798</v>
      </c>
      <c r="D30" s="43">
        <v>6.9999999999999999E-4</v>
      </c>
      <c r="E30">
        <f t="shared" si="0"/>
        <v>1237.484911488134</v>
      </c>
      <c r="F30">
        <f t="shared" si="1"/>
        <v>1237.5</v>
      </c>
      <c r="G30">
        <f t="shared" si="2"/>
        <v>-7.2616250203282107E-2</v>
      </c>
      <c r="L30">
        <f t="shared" si="5"/>
        <v>-7.2616250203282107E-2</v>
      </c>
      <c r="O30">
        <f t="shared" ca="1" si="3"/>
        <v>-7.2274615430835701E-2</v>
      </c>
      <c r="Q30" s="29">
        <f t="shared" si="4"/>
        <v>44769.935699999798</v>
      </c>
    </row>
    <row r="31" spans="1:21" ht="12.95" customHeight="1" x14ac:dyDescent="0.2">
      <c r="A31" s="50" t="s">
        <v>48</v>
      </c>
      <c r="B31" s="40" t="s">
        <v>49</v>
      </c>
      <c r="C31" s="44">
        <v>59790.845100000035</v>
      </c>
      <c r="D31" s="43">
        <v>5.9999999999999995E-4</v>
      </c>
      <c r="E31">
        <f t="shared" si="0"/>
        <v>1237.9855468196438</v>
      </c>
      <c r="F31">
        <f t="shared" si="1"/>
        <v>1238</v>
      </c>
      <c r="G31">
        <f t="shared" si="2"/>
        <v>-6.9558599963784218E-2</v>
      </c>
      <c r="L31">
        <f t="shared" si="5"/>
        <v>-6.9558599963784218E-2</v>
      </c>
      <c r="O31">
        <f t="shared" ca="1" si="3"/>
        <v>-7.2298173308681324E-2</v>
      </c>
      <c r="Q31" s="29">
        <f t="shared" si="4"/>
        <v>44772.345100000035</v>
      </c>
    </row>
    <row r="32" spans="1:21" ht="12.95" customHeight="1" x14ac:dyDescent="0.2">
      <c r="A32" s="50" t="s">
        <v>48</v>
      </c>
      <c r="B32" s="40" t="s">
        <v>47</v>
      </c>
      <c r="C32" s="44">
        <v>59793.252400000114</v>
      </c>
      <c r="D32" s="43">
        <v>8.0000000000000004E-4</v>
      </c>
      <c r="E32">
        <f t="shared" si="0"/>
        <v>1238.4857458042311</v>
      </c>
      <c r="F32">
        <f t="shared" si="1"/>
        <v>1238.5</v>
      </c>
      <c r="G32">
        <f t="shared" si="2"/>
        <v>-6.8600949889514595E-2</v>
      </c>
      <c r="L32">
        <f t="shared" si="5"/>
        <v>-6.8600949889514595E-2</v>
      </c>
      <c r="O32">
        <f t="shared" ca="1" si="3"/>
        <v>-7.2321731186526933E-2</v>
      </c>
      <c r="Q32" s="29">
        <f t="shared" si="4"/>
        <v>44774.752400000114</v>
      </c>
    </row>
    <row r="33" spans="1:17" ht="12.95" customHeight="1" x14ac:dyDescent="0.2">
      <c r="A33" s="50" t="s">
        <v>48</v>
      </c>
      <c r="B33" s="40" t="s">
        <v>49</v>
      </c>
      <c r="C33" s="44">
        <v>59795.654099999927</v>
      </c>
      <c r="D33" s="43">
        <v>8.0000000000000004E-4</v>
      </c>
      <c r="E33">
        <f t="shared" si="0"/>
        <v>1238.9847811970574</v>
      </c>
      <c r="F33">
        <f t="shared" si="1"/>
        <v>1239</v>
      </c>
      <c r="G33">
        <f t="shared" si="2"/>
        <v>-7.3243300073954742E-2</v>
      </c>
      <c r="L33">
        <f t="shared" si="5"/>
        <v>-7.3243300073954742E-2</v>
      </c>
      <c r="O33">
        <f t="shared" ca="1" si="3"/>
        <v>-7.2345289064372542E-2</v>
      </c>
      <c r="Q33" s="29">
        <f t="shared" si="4"/>
        <v>44777.154099999927</v>
      </c>
    </row>
    <row r="34" spans="1:17" ht="12.95" customHeight="1" x14ac:dyDescent="0.2">
      <c r="C34" s="7"/>
      <c r="D34" s="7"/>
    </row>
    <row r="35" spans="1:17" ht="12.95" customHeight="1" x14ac:dyDescent="0.2">
      <c r="C35" s="7"/>
      <c r="D35" s="7"/>
    </row>
    <row r="36" spans="1:17" ht="12.95" customHeight="1" x14ac:dyDescent="0.2">
      <c r="C36" s="7"/>
      <c r="D36" s="7"/>
    </row>
    <row r="37" spans="1:17" ht="12.95" customHeight="1" x14ac:dyDescent="0.2">
      <c r="C37" s="7"/>
      <c r="D37" s="7"/>
    </row>
    <row r="38" spans="1:17" ht="12.95" customHeight="1" x14ac:dyDescent="0.2">
      <c r="C38" s="7"/>
      <c r="D38" s="7"/>
    </row>
    <row r="39" spans="1:17" ht="12.95" customHeight="1" x14ac:dyDescent="0.2">
      <c r="C39" s="7"/>
      <c r="D39" s="7"/>
    </row>
    <row r="40" spans="1:17" ht="12.95" customHeight="1" x14ac:dyDescent="0.2">
      <c r="C40" s="7"/>
      <c r="D40" s="7"/>
    </row>
    <row r="41" spans="1:17" ht="12.95" customHeight="1" x14ac:dyDescent="0.2">
      <c r="C41" s="7"/>
      <c r="D41" s="7"/>
    </row>
    <row r="42" spans="1:17" ht="12.95" customHeight="1" x14ac:dyDescent="0.2">
      <c r="C42" s="7"/>
      <c r="D42" s="7"/>
    </row>
    <row r="43" spans="1:17" ht="12.95" customHeight="1" x14ac:dyDescent="0.2">
      <c r="C43" s="7"/>
      <c r="D43" s="7"/>
    </row>
    <row r="44" spans="1:17" x14ac:dyDescent="0.2">
      <c r="C44" s="7"/>
      <c r="D44" s="7"/>
    </row>
    <row r="45" spans="1:17" x14ac:dyDescent="0.2">
      <c r="C45" s="7"/>
      <c r="D45" s="7"/>
    </row>
    <row r="46" spans="1:17" x14ac:dyDescent="0.2">
      <c r="C46" s="7"/>
      <c r="D46" s="7"/>
    </row>
    <row r="47" spans="1:17" x14ac:dyDescent="0.2">
      <c r="C47" s="7"/>
      <c r="D47" s="7"/>
    </row>
    <row r="48" spans="1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sortState xmlns:xlrd2="http://schemas.microsoft.com/office/spreadsheetml/2017/richdata2" ref="A21:W37">
    <sortCondition ref="C21:C37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2024-07-27T06:33:00Z</dcterms:modified>
</cp:coreProperties>
</file>